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intranet-fs1\子ども未来局\243給付係\02：給付費（利用者負担額）\02：給付費・委託費\00：市内\2025（R7）\50-試算様式\"/>
    </mc:Choice>
  </mc:AlternateContent>
  <xr:revisionPtr revIDLastSave="0" documentId="13_ncr:1_{E1D68405-7923-421A-A30C-644EFE17AE62}" xr6:coauthVersionLast="47" xr6:coauthVersionMax="47" xr10:uidLastSave="{00000000-0000-0000-0000-000000000000}"/>
  <bookViews>
    <workbookView xWindow="-28920" yWindow="-120" windowWidth="29040" windowHeight="15720" firstSheet="2" activeTab="4" xr2:uid="{20930DE9-4981-4B39-B36B-2519DD61FC51}"/>
  </bookViews>
  <sheets>
    <sheet name="施設状況 (要更新)" sheetId="33" state="hidden" r:id="rId1"/>
    <sheet name="休日情報(要更新)" sheetId="35" state="hidden" r:id="rId2"/>
    <sheet name="作成方法" sheetId="55" r:id="rId3"/>
    <sheet name="【別添】添付書類のリネーム一覧" sheetId="54" state="hidden" r:id="rId4"/>
    <sheet name="【様式１】総括表・個票" sheetId="23" r:id="rId5"/>
    <sheet name="(別紙1)副園長" sheetId="34" r:id="rId6"/>
    <sheet name="(別紙2)土曜閉所" sheetId="43" r:id="rId7"/>
    <sheet name="(別紙3)休日" sheetId="44" r:id="rId8"/>
    <sheet name="(別紙４)通園" sheetId="49" r:id="rId9"/>
    <sheet name="(別紙5)給食・副食" sheetId="50" r:id="rId10"/>
    <sheet name="(別紙6)定員超過 (1号)" sheetId="52" r:id="rId11"/>
    <sheet name="(別紙6)定員超過（2・3号）" sheetId="45" r:id="rId12"/>
    <sheet name="(別紙7)主幹教諭" sheetId="53" r:id="rId13"/>
    <sheet name="【様式2】職員名簿 " sheetId="46" r:id="rId14"/>
    <sheet name="【様式３】シフト表" sheetId="47" r:id="rId15"/>
    <sheet name="【様式4】クラス編成表" sheetId="19" r:id="rId16"/>
    <sheet name="【様式５】職員数算出表" sheetId="48" r:id="rId17"/>
    <sheet name="【様式6】加算確認表" sheetId="27" r:id="rId18"/>
    <sheet name="ver" sheetId="32" state="hidden" r:id="rId19"/>
  </sheets>
  <externalReferences>
    <externalReference r:id="rId20"/>
  </externalReferences>
  <definedNames>
    <definedName name="a">#REF!</definedName>
    <definedName name="b">#REF!</definedName>
    <definedName name="d">#REF!</definedName>
    <definedName name="_xlnm.Print_Area" localSheetId="5">'(別紙1)副園長'!$A$1:$I$106</definedName>
    <definedName name="_xlnm.Print_Area" localSheetId="6">'(別紙2)土曜閉所'!$A$1:$H$30</definedName>
    <definedName name="_xlnm.Print_Area" localSheetId="7">'(別紙3)休日'!$A$1:$AA$55</definedName>
    <definedName name="_xlnm.Print_Area" localSheetId="8">'(別紙４)通園'!$A$1:$H$26</definedName>
    <definedName name="_xlnm.Print_Area" localSheetId="9">'(別紙5)給食・副食'!$B$1:$AJ$68</definedName>
    <definedName name="_xlnm.Print_Area" localSheetId="10">'(別紙6)定員超過 (1号)'!$A$1:$P$79</definedName>
    <definedName name="_xlnm.Print_Area" localSheetId="11">'(別紙6)定員超過（2・3号）'!$A$1:$P$79</definedName>
    <definedName name="_xlnm.Print_Area" localSheetId="12">'(別紙7)主幹教諭'!$A$1:$L$37</definedName>
    <definedName name="_xlnm.Print_Area" localSheetId="3">【別添】添付書類のリネーム一覧!$A$1:$C$57</definedName>
    <definedName name="_xlnm.Print_Area" localSheetId="4">【様式１】総括表・個票!$A$1:$AG$499</definedName>
    <definedName name="_xlnm.Print_Area" localSheetId="13">'【様式2】職員名簿 '!$A$1:$K$143</definedName>
    <definedName name="_xlnm.Print_Area" localSheetId="14">【様式３】シフト表!$B$1:$AK$107</definedName>
    <definedName name="_xlnm.Print_Area" localSheetId="15">【様式4】クラス編成表!$A$1:$F$32</definedName>
    <definedName name="_xlnm.Print_Area" localSheetId="16">【様式５】職員数算出表!$A$1:$O$193</definedName>
    <definedName name="_xlnm.Print_Area" localSheetId="17">【様式6】加算確認表!$A$1:$AM$27</definedName>
    <definedName name="_xlnm.Print_Area" localSheetId="2">作成方法!$A$1:$E$42</definedName>
    <definedName name="_xlnm.Print_Titles" localSheetId="5">'(別紙1)副園長'!$1:$1</definedName>
    <definedName name="_xlnm.Print_Titles" localSheetId="6">'(別紙2)土曜閉所'!$1:$1</definedName>
    <definedName name="_xlnm.Print_Titles" localSheetId="8">'(別紙４)通園'!$1:$6</definedName>
    <definedName name="_xlnm.Print_Titles" localSheetId="9">'(別紙5)給食・副食'!$1:$5</definedName>
    <definedName name="_xlnm.Print_Titles" localSheetId="4">【様式１】総括表・個票!$1:$1</definedName>
    <definedName name="_xlnm.Print_Titles" localSheetId="13">'【様式2】職員名簿 '!$1:$2</definedName>
    <definedName name="_xlnm.Print_Titles" localSheetId="14">【様式３】シフト表!$1:$6</definedName>
    <definedName name="_xlnm.Print_Titles" localSheetId="15">【様式4】クラス編成表!$1:$5</definedName>
    <definedName name="_xlnm.Print_Titles" localSheetId="16">【様式５】職員数算出表!$1:$3</definedName>
    <definedName name="Z_231BE199_DDAC_4D61_831C_4C9016DB75EA_.wvu.PrintArea" localSheetId="4" hidden="1">【様式１】総括表・個票!$A$1:$AG$478</definedName>
    <definedName name="栄養士" localSheetId="3">#REF!</definedName>
    <definedName name="栄養士">【様式５】職員数算出表!$BG$7:$BG$108</definedName>
    <definedName name="栄養士等">【様式５】職員数算出表!$BG$7:$BG$107</definedName>
    <definedName name="家庭的保育">#REF!</definedName>
    <definedName name="概算交付申出書">#REF!</definedName>
    <definedName name="学校医" localSheetId="3">#REF!</definedName>
    <definedName name="学校医" localSheetId="2">[1]【様式５】職員数算出表!#REF!</definedName>
    <definedName name="学校医">【様式５】職員数算出表!$BO$7:$BO$108</definedName>
    <definedName name="教諭" localSheetId="3">#REF!</definedName>
    <definedName name="教諭" localSheetId="2">#REF!</definedName>
    <definedName name="教諭">#REF!</definedName>
    <definedName name="業務委託" localSheetId="3">#REF!</definedName>
    <definedName name="業務委託">【様式５】職員数算出表!$BU$7:$BU$11</definedName>
    <definedName name="区分１">#REF!</definedName>
    <definedName name="区分２">#REF!</definedName>
    <definedName name="区分３">#REF!</definedName>
    <definedName name="公設民営">#REF!</definedName>
    <definedName name="厚別区03認定こども園">'施設状況 (要更新)'!$AC$4:$AC$100</definedName>
    <definedName name="施設C" localSheetId="6">#REF!</definedName>
    <definedName name="施設C" localSheetId="11">#REF!</definedName>
    <definedName name="施設C" localSheetId="3">#REF!</definedName>
    <definedName name="施設C" localSheetId="2">#REF!</definedName>
    <definedName name="施設C">#REF!</definedName>
    <definedName name="施設種別">#REF!</definedName>
    <definedName name="施設長" localSheetId="3">#REF!</definedName>
    <definedName name="施設長">【様式５】職員数算出表!$BA$7:$BA$108</definedName>
    <definedName name="事業所内保育">#REF!</definedName>
    <definedName name="事務員" localSheetId="3">#REF!</definedName>
    <definedName name="事務員">【様式５】職員数算出表!$BM$7:$BM$108</definedName>
    <definedName name="手稲区03認定こども園">'施設状況 (要更新)'!$AH$4:$AH$100</definedName>
    <definedName name="修正後施設マスタ" localSheetId="2">#REF!</definedName>
    <definedName name="修正後施設マスタ">#REF!</definedName>
    <definedName name="祝日">'休日情報(要更新)'!#REF!</definedName>
    <definedName name="小規模保育">#REF!</definedName>
    <definedName name="常勤" localSheetId="16">【様式５】職員数算出表!$BE$7:$BE$108</definedName>
    <definedName name="常勤">'【様式2】職員名簿 '!$AH$27:$AH$31</definedName>
    <definedName name="常勤事務員" localSheetId="3">#REF!</definedName>
    <definedName name="常勤事務員" localSheetId="2">[1]【様式５】職員数算出表!#REF!</definedName>
    <definedName name="常勤事務員">【様式５】職員数算出表!$BK$7:$BK$108</definedName>
    <definedName name="常勤調理員" localSheetId="3">#REF!</definedName>
    <definedName name="常勤調理員" localSheetId="2">[1]【様式５】職員数算出表!#REF!</definedName>
    <definedName name="常勤調理員">【様式５】職員数算出表!#REF!</definedName>
    <definedName name="常勤保育教諭">【様式５】職員数算出表!$BE$7:$BE$108</definedName>
    <definedName name="常勤保育士" localSheetId="3">#REF!</definedName>
    <definedName name="常勤保育士">【様式５】職員数算出表!$BE$7:$BE$108</definedName>
    <definedName name="清田区03認定こども園">'施設状況 (要更新)'!$AE$4:$AE$100</definedName>
    <definedName name="西区03認定こども園">'施設状況 (要更新)'!$AG$4:$AG$100</definedName>
    <definedName name="請求書">#REF!</definedName>
    <definedName name="全員" localSheetId="3">#REF!</definedName>
    <definedName name="全員">【様式５】職員数算出表!$BQ$7:$BQ$108</definedName>
    <definedName name="全職種" localSheetId="3">#REF!</definedName>
    <definedName name="全職種">【様式５】職員数算出表!$BQ$7:$BQ$108</definedName>
    <definedName name="対象の有無" localSheetId="6">#REF!</definedName>
    <definedName name="対象の有無" localSheetId="3">#REF!</definedName>
    <definedName name="対象の有無" localSheetId="14">【様式３】シフト表!#REF!</definedName>
    <definedName name="対象の有無" localSheetId="2">#REF!</definedName>
    <definedName name="対象の有無">#REF!</definedName>
    <definedName name="中央区03認定こども園">'施設状況 (要更新)'!$Y$4:$Y$100</definedName>
    <definedName name="調理員" localSheetId="3">#REF!</definedName>
    <definedName name="調理員">【様式５】職員数算出表!$BI$7:$BI$108</definedName>
    <definedName name="東区03認定こども園">'施設状況 (要更新)'!$AA$4:$AA$100</definedName>
    <definedName name="南区03認定こども園">'施設状況 (要更新)'!$AF$4:$AF$100</definedName>
    <definedName name="認定こども園">#REF!</definedName>
    <definedName name="認定区分">#REF!</definedName>
    <definedName name="白石区03認定こども園">'施設状況 (要更新)'!$AB$4:$AB$100</definedName>
    <definedName name="非常勤" localSheetId="3">#REF!</definedName>
    <definedName name="非常勤" localSheetId="13">'【様式2】職員名簿 '!$AI$27:$AI$31</definedName>
    <definedName name="非常勤" localSheetId="2">#REF!</definedName>
    <definedName name="非常勤">#REF!</definedName>
    <definedName name="副園長" localSheetId="3">#REF!</definedName>
    <definedName name="副園長" localSheetId="2">[1]【様式５】職員数算出表!#REF!</definedName>
    <definedName name="副園長">【様式５】職員数算出表!$BS$7:$BS$108</definedName>
    <definedName name="保育園連絡先">#REF!</definedName>
    <definedName name="保育教諭">【様式５】職員数算出表!$BC$7:$BC$108</definedName>
    <definedName name="保育士" localSheetId="3">#REF!</definedName>
    <definedName name="保育士">【様式５】職員数算出表!$BC$7:$BC$108</definedName>
    <definedName name="保育所">#REF!</definedName>
    <definedName name="豊平区03認定こども園">'施設状況 (要更新)'!$AD$4:$AD$100</definedName>
    <definedName name="北区03認定こども園">'施設状況 (要更新)'!$Z$4:$Z$100</definedName>
    <definedName name="名前１">#REF!</definedName>
    <definedName name="名前２">#REF!</definedName>
    <definedName name="幼稚園">#REF!</definedName>
    <definedName name="曜日" localSheetId="6">#REF!</definedName>
    <definedName name="曜日" localSheetId="3">#REF!</definedName>
    <definedName name="曜日" localSheetId="2">#REF!</definedName>
    <definedName name="曜日">#REF!</definedName>
    <definedName name="様式３">#REF!</definedName>
    <definedName name="様式４">#REF!</definedName>
    <definedName name="和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1" i="33" l="1"/>
  <c r="R270" i="33"/>
  <c r="R269" i="33"/>
  <c r="R268" i="33"/>
  <c r="R267" i="33"/>
  <c r="R266" i="33"/>
  <c r="R265" i="33"/>
  <c r="R264" i="33"/>
  <c r="R263" i="33"/>
  <c r="R262" i="33"/>
  <c r="R261" i="33"/>
  <c r="R260" i="33"/>
  <c r="R259" i="33"/>
  <c r="R258" i="33"/>
  <c r="R257" i="33"/>
  <c r="R256" i="33"/>
  <c r="R255" i="33"/>
  <c r="R254" i="33"/>
  <c r="R253" i="33"/>
  <c r="R252" i="33"/>
  <c r="R251" i="33"/>
  <c r="R250" i="33"/>
  <c r="R249" i="33"/>
  <c r="R248" i="33"/>
  <c r="R247" i="33"/>
  <c r="R246" i="33"/>
  <c r="R245" i="33"/>
  <c r="R244" i="33"/>
  <c r="R243" i="33"/>
  <c r="R242" i="33"/>
  <c r="R241" i="33"/>
  <c r="R240" i="33"/>
  <c r="R239" i="33"/>
  <c r="R238" i="33"/>
  <c r="R237" i="33"/>
  <c r="R236" i="33"/>
  <c r="R235" i="33"/>
  <c r="R234" i="33"/>
  <c r="R233" i="33"/>
  <c r="R232" i="33"/>
  <c r="R231" i="33"/>
  <c r="R230" i="33"/>
  <c r="R229" i="33"/>
  <c r="R228" i="33"/>
  <c r="R227" i="33"/>
  <c r="R226" i="33"/>
  <c r="R225" i="33"/>
  <c r="R224" i="33"/>
  <c r="R223" i="33"/>
  <c r="R222" i="33"/>
  <c r="R221" i="33"/>
  <c r="R220" i="33"/>
  <c r="R219" i="33"/>
  <c r="R218" i="33"/>
  <c r="R217" i="33"/>
  <c r="R216" i="33"/>
  <c r="R215" i="33"/>
  <c r="R214" i="33"/>
  <c r="R213" i="33"/>
  <c r="R212" i="33"/>
  <c r="R211" i="33"/>
  <c r="R210" i="33"/>
  <c r="R209" i="33"/>
  <c r="R208" i="33"/>
  <c r="R207" i="33"/>
  <c r="R206" i="33"/>
  <c r="R205" i="33"/>
  <c r="R204" i="33"/>
  <c r="R203" i="33"/>
  <c r="R202" i="33"/>
  <c r="R201" i="33"/>
  <c r="R200" i="33"/>
  <c r="R199" i="33"/>
  <c r="R198" i="33"/>
  <c r="R197" i="33"/>
  <c r="R196" i="33"/>
  <c r="R195" i="33"/>
  <c r="R194" i="33"/>
  <c r="R193" i="33"/>
  <c r="R192" i="33"/>
  <c r="R191" i="33"/>
  <c r="R190" i="33"/>
  <c r="R189" i="33"/>
  <c r="R188" i="33"/>
  <c r="R187" i="33"/>
  <c r="R186" i="33"/>
  <c r="R185" i="33"/>
  <c r="R184" i="33"/>
  <c r="R183" i="33"/>
  <c r="R182" i="33"/>
  <c r="R181" i="33"/>
  <c r="R180" i="33"/>
  <c r="R179" i="33"/>
  <c r="R178" i="33"/>
  <c r="R177" i="33"/>
  <c r="R176" i="33"/>
  <c r="R175" i="33"/>
  <c r="R174" i="33"/>
  <c r="R173" i="33"/>
  <c r="R172" i="33"/>
  <c r="R171" i="33"/>
  <c r="R170" i="33"/>
  <c r="R169" i="33"/>
  <c r="R168" i="33"/>
  <c r="R167" i="33"/>
  <c r="R166" i="33"/>
  <c r="R165" i="33"/>
  <c r="R164" i="33"/>
  <c r="R163" i="33"/>
  <c r="R162" i="33"/>
  <c r="R161" i="33"/>
  <c r="R160" i="33"/>
  <c r="R159" i="33"/>
  <c r="R158" i="33"/>
  <c r="R157" i="33"/>
  <c r="R156" i="33"/>
  <c r="R155" i="33"/>
  <c r="R154" i="33"/>
  <c r="R153" i="33"/>
  <c r="R152" i="33"/>
  <c r="R151" i="33"/>
  <c r="R150" i="33"/>
  <c r="R149" i="33"/>
  <c r="R148" i="33"/>
  <c r="R147" i="33"/>
  <c r="R146" i="33"/>
  <c r="R145" i="33"/>
  <c r="R144" i="33"/>
  <c r="R143" i="33"/>
  <c r="R142" i="33"/>
  <c r="R141" i="33"/>
  <c r="R140" i="33"/>
  <c r="R139" i="33"/>
  <c r="R138" i="33"/>
  <c r="R137" i="33"/>
  <c r="R136" i="33"/>
  <c r="R135" i="33"/>
  <c r="R134" i="33"/>
  <c r="R133" i="33"/>
  <c r="R132" i="33"/>
  <c r="R131" i="33"/>
  <c r="R130" i="33"/>
  <c r="R129" i="33"/>
  <c r="R128" i="33"/>
  <c r="R127" i="33"/>
  <c r="R126" i="33"/>
  <c r="R125" i="33"/>
  <c r="R124" i="33"/>
  <c r="R123" i="33"/>
  <c r="R122" i="33"/>
  <c r="R121" i="33"/>
  <c r="R120" i="33"/>
  <c r="R119" i="33"/>
  <c r="R118" i="33"/>
  <c r="R117" i="33"/>
  <c r="R116" i="33"/>
  <c r="R115" i="33"/>
  <c r="R114" i="33"/>
  <c r="R113" i="33"/>
  <c r="R112" i="33"/>
  <c r="R111" i="33"/>
  <c r="R110" i="33"/>
  <c r="R109" i="33"/>
  <c r="R108" i="33"/>
  <c r="R107" i="33"/>
  <c r="R106" i="33"/>
  <c r="R105" i="33"/>
  <c r="R104" i="33"/>
  <c r="R103" i="33"/>
  <c r="R102" i="33"/>
  <c r="R101" i="33"/>
  <c r="R100" i="33"/>
  <c r="R99" i="33"/>
  <c r="R98" i="33"/>
  <c r="R97" i="33"/>
  <c r="R96" i="33"/>
  <c r="R95" i="33"/>
  <c r="R94" i="33"/>
  <c r="R93" i="33"/>
  <c r="R92" i="33"/>
  <c r="R91" i="33"/>
  <c r="R90" i="33"/>
  <c r="R89" i="33"/>
  <c r="R88" i="33"/>
  <c r="R87" i="33"/>
  <c r="R86" i="33"/>
  <c r="R85" i="33"/>
  <c r="R84" i="33"/>
  <c r="R83" i="33"/>
  <c r="R82" i="33"/>
  <c r="R81" i="33"/>
  <c r="R80" i="33"/>
  <c r="R79" i="33"/>
  <c r="R78" i="33"/>
  <c r="R77" i="33"/>
  <c r="R76" i="33"/>
  <c r="R75" i="33"/>
  <c r="R74" i="33"/>
  <c r="R73" i="33"/>
  <c r="R72" i="33"/>
  <c r="R71" i="33"/>
  <c r="R70" i="33"/>
  <c r="R69" i="33"/>
  <c r="R68" i="33"/>
  <c r="R67" i="33"/>
  <c r="R66" i="33"/>
  <c r="R65" i="33"/>
  <c r="R64" i="33"/>
  <c r="R63" i="33"/>
  <c r="R62" i="33"/>
  <c r="R61" i="33"/>
  <c r="R60" i="33"/>
  <c r="R59" i="33"/>
  <c r="R58" i="33"/>
  <c r="R57" i="33"/>
  <c r="R56" i="33"/>
  <c r="R55" i="33"/>
  <c r="R54" i="33"/>
  <c r="R53" i="33"/>
  <c r="R52" i="33"/>
  <c r="R51" i="33"/>
  <c r="R50" i="33"/>
  <c r="R49" i="33"/>
  <c r="R48" i="33"/>
  <c r="R47" i="33"/>
  <c r="R46" i="33"/>
  <c r="R45" i="33"/>
  <c r="R44" i="33"/>
  <c r="R43" i="33"/>
  <c r="R42" i="33"/>
  <c r="R41" i="33"/>
  <c r="R40" i="33"/>
  <c r="R39" i="33"/>
  <c r="R38" i="33"/>
  <c r="R37" i="33"/>
  <c r="R36" i="33"/>
  <c r="R35" i="33"/>
  <c r="R34" i="33"/>
  <c r="R33" i="33"/>
  <c r="R32" i="33"/>
  <c r="R31" i="33"/>
  <c r="R30" i="33"/>
  <c r="R29" i="33"/>
  <c r="R28" i="33"/>
  <c r="R27" i="33"/>
  <c r="R26" i="33"/>
  <c r="R25" i="33"/>
  <c r="R24" i="33"/>
  <c r="R23" i="33"/>
  <c r="R22" i="33"/>
  <c r="R21" i="33"/>
  <c r="R20" i="33"/>
  <c r="R19" i="33"/>
  <c r="R18" i="33"/>
  <c r="R17" i="33"/>
  <c r="R16" i="33"/>
  <c r="R15" i="33"/>
  <c r="R14" i="33"/>
  <c r="R13" i="33"/>
  <c r="R12" i="33"/>
  <c r="R11" i="33"/>
  <c r="R10" i="33"/>
  <c r="R9" i="33"/>
  <c r="R8" i="33"/>
  <c r="R7" i="33"/>
  <c r="R6" i="33"/>
  <c r="R5" i="33"/>
  <c r="F170" i="48" l="1"/>
  <c r="F171" i="48" s="1"/>
  <c r="G170" i="48"/>
  <c r="J170" i="48" s="1"/>
  <c r="J169" i="48"/>
  <c r="I173" i="48"/>
  <c r="I172" i="48"/>
  <c r="I169" i="48"/>
  <c r="G171" i="48" l="1"/>
  <c r="J171" i="48"/>
  <c r="I170" i="48"/>
  <c r="I171" i="48"/>
  <c r="H14" i="27"/>
  <c r="H13" i="27"/>
  <c r="A54" i="45" l="1"/>
  <c r="A12" i="45"/>
  <c r="D187" i="48"/>
  <c r="D167" i="48"/>
  <c r="AW58" i="48" l="1"/>
  <c r="AY58" i="48" s="1"/>
  <c r="AW59" i="48"/>
  <c r="AY59" i="48" s="1"/>
  <c r="AW60" i="48"/>
  <c r="AY60" i="48" s="1"/>
  <c r="AW61" i="48"/>
  <c r="AY61" i="48" s="1"/>
  <c r="AW62" i="48"/>
  <c r="AY62" i="48" s="1"/>
  <c r="AW63" i="48"/>
  <c r="AY63" i="48" s="1"/>
  <c r="AW64" i="48"/>
  <c r="AY64" i="48" s="1"/>
  <c r="AW65" i="48"/>
  <c r="AY65" i="48" s="1"/>
  <c r="AW66" i="48"/>
  <c r="AY66" i="48" s="1"/>
  <c r="AW67" i="48"/>
  <c r="AY67" i="48" s="1"/>
  <c r="AW68" i="48"/>
  <c r="AY68" i="48" s="1"/>
  <c r="AW69" i="48"/>
  <c r="AY69" i="48" s="1"/>
  <c r="AW70" i="48"/>
  <c r="AY70" i="48" s="1"/>
  <c r="AW71" i="48"/>
  <c r="AY71" i="48" s="1"/>
  <c r="AW72" i="48"/>
  <c r="AY72" i="48" s="1"/>
  <c r="AW73" i="48"/>
  <c r="AY73" i="48" s="1"/>
  <c r="AW74" i="48"/>
  <c r="AY74" i="48" s="1"/>
  <c r="AW75" i="48"/>
  <c r="AY75" i="48" s="1"/>
  <c r="AW76" i="48"/>
  <c r="AY76" i="48" s="1"/>
  <c r="AW77" i="48"/>
  <c r="AY77" i="48" s="1"/>
  <c r="AW78" i="48"/>
  <c r="AY78" i="48" s="1"/>
  <c r="AW79" i="48"/>
  <c r="AY79" i="48" s="1"/>
  <c r="AW80" i="48"/>
  <c r="AY80" i="48" s="1"/>
  <c r="AW81" i="48"/>
  <c r="AY81" i="48" s="1"/>
  <c r="AW82" i="48"/>
  <c r="AY82" i="48" s="1"/>
  <c r="AW83" i="48"/>
  <c r="AY83" i="48" s="1"/>
  <c r="AW84" i="48"/>
  <c r="AY84" i="48" s="1"/>
  <c r="AW85" i="48"/>
  <c r="AY85" i="48" s="1"/>
  <c r="AW86" i="48"/>
  <c r="AY86" i="48" s="1"/>
  <c r="AW87" i="48"/>
  <c r="AY87" i="48" s="1"/>
  <c r="AW88" i="48"/>
  <c r="AY88" i="48" s="1"/>
  <c r="AW89" i="48"/>
  <c r="AY89" i="48" s="1"/>
  <c r="AW90" i="48"/>
  <c r="AY90" i="48" s="1"/>
  <c r="AW91" i="48"/>
  <c r="AY91" i="48" s="1"/>
  <c r="AW92" i="48"/>
  <c r="AY92" i="48" s="1"/>
  <c r="AW93" i="48"/>
  <c r="AY93" i="48" s="1"/>
  <c r="AW94" i="48"/>
  <c r="AY94" i="48" s="1"/>
  <c r="AW95" i="48"/>
  <c r="AY95" i="48" s="1"/>
  <c r="AW96" i="48"/>
  <c r="AY96" i="48" s="1"/>
  <c r="AW97" i="48"/>
  <c r="AY97" i="48" s="1"/>
  <c r="AW98" i="48"/>
  <c r="AY98" i="48" s="1"/>
  <c r="AW99" i="48"/>
  <c r="AY99" i="48" s="1"/>
  <c r="AW100" i="48"/>
  <c r="AY100" i="48" s="1"/>
  <c r="AW101" i="48"/>
  <c r="AY101" i="48" s="1"/>
  <c r="AW102" i="48"/>
  <c r="AY102" i="48" s="1"/>
  <c r="AW103" i="48"/>
  <c r="AY103" i="48" s="1"/>
  <c r="AW104" i="48"/>
  <c r="AY104" i="48" s="1"/>
  <c r="AW105" i="48"/>
  <c r="AY105" i="48" s="1"/>
  <c r="AW106" i="48"/>
  <c r="AY106" i="48" s="1"/>
  <c r="AW107" i="48"/>
  <c r="AY107" i="48" s="1"/>
  <c r="AU57" i="48" l="1"/>
  <c r="AW57" i="48"/>
  <c r="AY57" i="48" s="1"/>
  <c r="AE57" i="48"/>
  <c r="T57" i="48"/>
  <c r="R57" i="48"/>
  <c r="Q57" i="48"/>
  <c r="N57" i="48" l="1"/>
  <c r="O57" i="48"/>
  <c r="F57" i="48" s="1"/>
  <c r="W57" i="48"/>
  <c r="D57" i="48" s="1"/>
  <c r="AI329" i="23"/>
  <c r="AF367" i="23"/>
  <c r="AJ367" i="23" l="1"/>
  <c r="AM28" i="23" l="1"/>
  <c r="AM25" i="23"/>
  <c r="AM26" i="23" s="1"/>
  <c r="A416" i="23" l="1"/>
  <c r="H416" i="23" s="1"/>
  <c r="A413" i="23"/>
  <c r="F413" i="23" s="1"/>
  <c r="AB413" i="23" l="1"/>
  <c r="Z413" i="23"/>
  <c r="X413" i="23"/>
  <c r="V413" i="23"/>
  <c r="T413" i="23"/>
  <c r="V416" i="23"/>
  <c r="R413" i="23"/>
  <c r="F416" i="23"/>
  <c r="N413" i="23"/>
  <c r="R416" i="23"/>
  <c r="P413" i="23"/>
  <c r="N416" i="23"/>
  <c r="L413" i="23"/>
  <c r="T416" i="23"/>
  <c r="P416" i="23"/>
  <c r="AB416" i="23"/>
  <c r="L416" i="23"/>
  <c r="J413" i="23"/>
  <c r="Z416" i="23"/>
  <c r="J416" i="23"/>
  <c r="H413" i="23"/>
  <c r="X416" i="23"/>
  <c r="AI142" i="23" l="1"/>
  <c r="AI141" i="23"/>
  <c r="AI140" i="23"/>
  <c r="AI139" i="23"/>
  <c r="AI138" i="23"/>
  <c r="AI136" i="23"/>
  <c r="AI133" i="23"/>
  <c r="AA137" i="23" l="1"/>
  <c r="AI137" i="23" s="1"/>
  <c r="I325" i="23" l="1"/>
  <c r="AB324" i="23"/>
  <c r="E2" i="54"/>
  <c r="O616" i="33" l="1"/>
  <c r="P616" i="33" s="1"/>
  <c r="O615" i="33"/>
  <c r="P615" i="33" s="1"/>
  <c r="O614" i="33"/>
  <c r="P614" i="33" s="1"/>
  <c r="P613" i="33"/>
  <c r="O613" i="33"/>
  <c r="O612" i="33"/>
  <c r="P612" i="33" s="1"/>
  <c r="L126" i="23" l="1"/>
  <c r="T59" i="48" l="1"/>
  <c r="J35" i="48" l="1"/>
  <c r="J37" i="48"/>
  <c r="J36" i="48"/>
  <c r="J34" i="48"/>
  <c r="G14" i="27" l="1"/>
  <c r="F14" i="27"/>
  <c r="G13" i="27"/>
  <c r="T56" i="48"/>
  <c r="AE56" i="48"/>
  <c r="AI346" i="23" l="1"/>
  <c r="AJ364" i="23"/>
  <c r="AJ359" i="23"/>
  <c r="AJ363" i="23"/>
  <c r="AJ362" i="23"/>
  <c r="AI328" i="23"/>
  <c r="AF326" i="23" s="1"/>
  <c r="AI301" i="23"/>
  <c r="AI126" i="23"/>
  <c r="Q56" i="48" s="1"/>
  <c r="AM29" i="23"/>
  <c r="AM22" i="23"/>
  <c r="AM23" i="23" s="1"/>
  <c r="AM19" i="23"/>
  <c r="AM20" i="23" s="1"/>
  <c r="T37" i="48"/>
  <c r="T36" i="48"/>
  <c r="T35" i="48"/>
  <c r="T34" i="48"/>
  <c r="O37" i="48"/>
  <c r="O35" i="48"/>
  <c r="L40" i="46"/>
  <c r="L39" i="46"/>
  <c r="N56" i="48" l="1"/>
  <c r="F56" i="48" s="1"/>
  <c r="W56" i="48"/>
  <c r="D56" i="48" s="1"/>
  <c r="F2" i="54"/>
  <c r="D2" i="54" l="1"/>
  <c r="O42" i="46"/>
  <c r="AI163" i="23"/>
  <c r="AK15" i="23"/>
  <c r="W4" i="23" l="1"/>
  <c r="T50" i="48"/>
  <c r="AI235" i="23" l="1"/>
  <c r="AI240" i="23"/>
  <c r="A388" i="23" l="1"/>
  <c r="X388" i="23" l="1"/>
  <c r="Z388" i="23"/>
  <c r="AB388" i="23"/>
  <c r="T388" i="23"/>
  <c r="V388" i="23"/>
  <c r="R388" i="23"/>
  <c r="S9" i="44" l="1"/>
  <c r="R64" i="48"/>
  <c r="C64" i="48"/>
  <c r="E24" i="44"/>
  <c r="AC9" i="44"/>
  <c r="AC6" i="44"/>
  <c r="K54" i="44"/>
  <c r="V54" i="44" s="1"/>
  <c r="I32" i="44"/>
  <c r="Q31" i="44"/>
  <c r="Q30" i="44"/>
  <c r="Q29" i="44"/>
  <c r="Q28" i="44"/>
  <c r="Z20" i="44"/>
  <c r="AC21" i="44" s="1"/>
  <c r="Z19" i="44"/>
  <c r="AC20" i="44" s="1"/>
  <c r="Z14" i="44"/>
  <c r="AC15" i="44" s="1"/>
  <c r="Z12" i="44"/>
  <c r="AC13" i="44" s="1"/>
  <c r="Z10" i="44"/>
  <c r="AC11" i="44" s="1"/>
  <c r="Z7" i="44"/>
  <c r="AC7" i="44" s="1"/>
  <c r="AD244" i="23"/>
  <c r="AB245" i="23"/>
  <c r="AL14" i="44" s="1"/>
  <c r="Z245" i="23"/>
  <c r="AL13" i="44" s="1"/>
  <c r="X245" i="23"/>
  <c r="AL12" i="44" s="1"/>
  <c r="V245" i="23"/>
  <c r="P24" i="27" s="1"/>
  <c r="T245" i="23"/>
  <c r="AL10" i="44" s="1"/>
  <c r="R245" i="23"/>
  <c r="AL9" i="44" s="1"/>
  <c r="P245" i="23"/>
  <c r="AL8" i="44" s="1"/>
  <c r="N245" i="23"/>
  <c r="AL7" i="44" s="1"/>
  <c r="L245" i="23"/>
  <c r="AL6" i="44" s="1"/>
  <c r="J245" i="23"/>
  <c r="P18" i="27" s="1"/>
  <c r="H245" i="23"/>
  <c r="AL4" i="44" s="1"/>
  <c r="F245" i="23"/>
  <c r="P16" i="27" s="1"/>
  <c r="P22" i="27" l="1"/>
  <c r="P19" i="27"/>
  <c r="P25" i="27"/>
  <c r="AL5" i="44"/>
  <c r="P20" i="27"/>
  <c r="P26" i="27"/>
  <c r="AL11" i="44"/>
  <c r="P21" i="27"/>
  <c r="P27" i="27"/>
  <c r="P17" i="27"/>
  <c r="P23" i="27"/>
  <c r="AL16" i="44"/>
  <c r="E25" i="44" s="1"/>
  <c r="W30" i="44"/>
  <c r="Q32" i="44"/>
  <c r="AL3" i="44"/>
  <c r="AD245" i="23"/>
  <c r="P15" i="27" s="1"/>
  <c r="J81" i="48" l="1"/>
  <c r="S110" i="33" l="1"/>
  <c r="V110" i="33"/>
  <c r="W110" i="33"/>
  <c r="Q41" i="46" l="1"/>
  <c r="L2" i="45" l="1"/>
  <c r="AB352" i="23" l="1"/>
  <c r="K354" i="23"/>
  <c r="Q354" i="23"/>
  <c r="W354" i="23"/>
  <c r="AC354" i="23"/>
  <c r="T41" i="48"/>
  <c r="T80" i="48"/>
  <c r="T79" i="48"/>
  <c r="I10" i="48"/>
  <c r="I17" i="48"/>
  <c r="F17" i="48"/>
  <c r="Q42" i="48" l="1"/>
  <c r="N42" i="48" s="1"/>
  <c r="Q31" i="48"/>
  <c r="N31" i="48" s="1"/>
  <c r="O4" i="33" l="1"/>
  <c r="R4" i="33" s="1"/>
  <c r="AW9" i="48" l="1"/>
  <c r="AW10" i="48"/>
  <c r="AW11" i="48"/>
  <c r="AW12" i="48"/>
  <c r="AW13" i="48"/>
  <c r="AW14" i="48"/>
  <c r="AW15" i="48"/>
  <c r="AW16" i="48"/>
  <c r="AW17" i="48"/>
  <c r="AW18" i="48"/>
  <c r="AW19" i="48"/>
  <c r="AW20" i="48"/>
  <c r="AW21" i="48"/>
  <c r="AW22" i="48"/>
  <c r="AW23" i="48"/>
  <c r="AW24" i="48"/>
  <c r="AW25" i="48"/>
  <c r="AW26" i="48"/>
  <c r="AW27" i="48"/>
  <c r="AW28" i="48"/>
  <c r="AW29" i="48"/>
  <c r="AW30" i="48"/>
  <c r="AW31" i="48"/>
  <c r="AW32" i="48"/>
  <c r="AY32" i="48" s="1"/>
  <c r="AW33" i="48"/>
  <c r="AY33" i="48" s="1"/>
  <c r="AW34" i="48"/>
  <c r="AY34" i="48" s="1"/>
  <c r="AW35" i="48"/>
  <c r="AY35" i="48" s="1"/>
  <c r="AW36" i="48"/>
  <c r="AY36" i="48" s="1"/>
  <c r="AW37" i="48"/>
  <c r="AY37" i="48" s="1"/>
  <c r="AW38" i="48"/>
  <c r="AY38" i="48" s="1"/>
  <c r="AW39" i="48"/>
  <c r="AY39" i="48" s="1"/>
  <c r="AW40" i="48"/>
  <c r="AY40" i="48" s="1"/>
  <c r="AW41" i="48"/>
  <c r="AY41" i="48" s="1"/>
  <c r="AW42" i="48"/>
  <c r="AY42" i="48" s="1"/>
  <c r="AW43" i="48"/>
  <c r="AY43" i="48" s="1"/>
  <c r="AW44" i="48"/>
  <c r="AY44" i="48" s="1"/>
  <c r="AW45" i="48"/>
  <c r="AY45" i="48" s="1"/>
  <c r="AW46" i="48"/>
  <c r="AY46" i="48" s="1"/>
  <c r="AW47" i="48"/>
  <c r="AY47" i="48" s="1"/>
  <c r="AW48" i="48"/>
  <c r="AY48" i="48" s="1"/>
  <c r="AW49" i="48"/>
  <c r="AY49" i="48" s="1"/>
  <c r="AW50" i="48"/>
  <c r="AY50" i="48" s="1"/>
  <c r="AW51" i="48"/>
  <c r="AY51" i="48" s="1"/>
  <c r="AW52" i="48"/>
  <c r="AY52" i="48" s="1"/>
  <c r="AW53" i="48"/>
  <c r="AY53" i="48" s="1"/>
  <c r="AW54" i="48"/>
  <c r="AY54" i="48" s="1"/>
  <c r="AW55" i="48"/>
  <c r="AY55" i="48" s="1"/>
  <c r="AW56" i="48"/>
  <c r="AY56" i="48" s="1"/>
  <c r="D10" i="23" l="1"/>
  <c r="AG3" i="27" s="1"/>
  <c r="AI14" i="23" l="1"/>
  <c r="T129" i="48" l="1"/>
  <c r="D129" i="48" s="1"/>
  <c r="T128" i="48"/>
  <c r="T127" i="48"/>
  <c r="T126" i="48"/>
  <c r="D126" i="48" s="1"/>
  <c r="T125" i="48"/>
  <c r="D125" i="48" s="1"/>
  <c r="T121" i="48"/>
  <c r="D121" i="48" s="1"/>
  <c r="T120" i="48"/>
  <c r="D120" i="48" s="1"/>
  <c r="T119" i="48"/>
  <c r="D119" i="48" s="1"/>
  <c r="T118" i="48"/>
  <c r="D118" i="48" s="1"/>
  <c r="T117" i="48"/>
  <c r="T116" i="48"/>
  <c r="T115" i="48"/>
  <c r="D115" i="48" s="1"/>
  <c r="T114" i="48"/>
  <c r="D114" i="48" s="1"/>
  <c r="T113" i="48"/>
  <c r="D113" i="48" s="1"/>
  <c r="T112" i="48"/>
  <c r="D112" i="48" s="1"/>
  <c r="T111" i="48"/>
  <c r="D111" i="48" s="1"/>
  <c r="T110" i="48"/>
  <c r="D110" i="48" s="1"/>
  <c r="T109" i="48"/>
  <c r="D109" i="48" s="1"/>
  <c r="T108" i="48"/>
  <c r="D108" i="48" s="1"/>
  <c r="T107" i="48"/>
  <c r="D107" i="48" s="1"/>
  <c r="T106" i="48"/>
  <c r="D106" i="48" s="1"/>
  <c r="T105" i="48"/>
  <c r="D105" i="48" s="1"/>
  <c r="D128" i="48"/>
  <c r="D127" i="48"/>
  <c r="D117" i="48"/>
  <c r="D116" i="48"/>
  <c r="W136" i="48" l="1"/>
  <c r="J136" i="48"/>
  <c r="BV8" i="48"/>
  <c r="BT8" i="48"/>
  <c r="AT5" i="48"/>
  <c r="Z41" i="46"/>
  <c r="G31" i="46"/>
  <c r="F31" i="46"/>
  <c r="S31" i="46" s="1"/>
  <c r="P33" i="45"/>
  <c r="P33" i="52"/>
  <c r="S434" i="33"/>
  <c r="W340" i="33"/>
  <c r="V340" i="33"/>
  <c r="S340" i="33"/>
  <c r="W339" i="33"/>
  <c r="V339" i="33"/>
  <c r="S339" i="33"/>
  <c r="W338" i="33"/>
  <c r="V338" i="33"/>
  <c r="S338" i="33"/>
  <c r="W337" i="33"/>
  <c r="V337" i="33"/>
  <c r="S337" i="33"/>
  <c r="W336" i="33"/>
  <c r="V336" i="33"/>
  <c r="S336" i="33"/>
  <c r="W335" i="33"/>
  <c r="V335" i="33"/>
  <c r="S335" i="33"/>
  <c r="W334" i="33"/>
  <c r="V334" i="33"/>
  <c r="S334" i="33"/>
  <c r="W333" i="33"/>
  <c r="V333" i="33"/>
  <c r="S333" i="33"/>
  <c r="W332" i="33"/>
  <c r="V332" i="33"/>
  <c r="S332" i="33"/>
  <c r="W331" i="33"/>
  <c r="V331" i="33"/>
  <c r="S331" i="33"/>
  <c r="W234" i="33"/>
  <c r="V234" i="33"/>
  <c r="S234" i="33"/>
  <c r="W134" i="33"/>
  <c r="V134" i="33"/>
  <c r="S134" i="33"/>
  <c r="W33" i="33"/>
  <c r="V33" i="33"/>
  <c r="S33" i="33"/>
  <c r="W534" i="33"/>
  <c r="V534" i="33"/>
  <c r="S534" i="33"/>
  <c r="W434" i="33"/>
  <c r="V434" i="33"/>
  <c r="N33" i="53"/>
  <c r="L33" i="53" s="1"/>
  <c r="T146" i="46"/>
  <c r="R14" i="27"/>
  <c r="R13" i="27"/>
  <c r="T2" i="45"/>
  <c r="J35" i="45"/>
  <c r="AJ136" i="48" l="1"/>
  <c r="M136" i="48" s="1"/>
  <c r="P31" i="46"/>
  <c r="AV226" i="23"/>
  <c r="AU226" i="23"/>
  <c r="AT226" i="23"/>
  <c r="AS226" i="23"/>
  <c r="AR226" i="23"/>
  <c r="AQ226" i="23"/>
  <c r="AP226" i="23"/>
  <c r="AO226" i="23"/>
  <c r="AN226" i="23"/>
  <c r="AM226" i="23"/>
  <c r="AL226" i="23"/>
  <c r="AK226" i="23"/>
  <c r="T2" i="52"/>
  <c r="J35" i="52"/>
  <c r="M2" i="49"/>
  <c r="D26" i="49"/>
  <c r="AN7" i="50"/>
  <c r="A19" i="50" s="1"/>
  <c r="AI59" i="50"/>
  <c r="AH59" i="50"/>
  <c r="BQ60" i="50" s="1"/>
  <c r="AI44" i="50"/>
  <c r="AI34" i="50"/>
  <c r="BR35" i="50" s="1"/>
  <c r="AI19" i="50"/>
  <c r="AI9" i="50"/>
  <c r="AI10" i="50" s="1"/>
  <c r="J22" i="49" l="1"/>
  <c r="K15" i="49"/>
  <c r="V226" i="23"/>
  <c r="J25" i="49"/>
  <c r="J17" i="49"/>
  <c r="J19" i="49"/>
  <c r="K5" i="49"/>
  <c r="K25" i="49"/>
  <c r="J21" i="49"/>
  <c r="A24" i="50"/>
  <c r="AF25" i="50" s="1"/>
  <c r="J16" i="49"/>
  <c r="J23" i="49"/>
  <c r="J15" i="49"/>
  <c r="J20" i="49"/>
  <c r="J24" i="49"/>
  <c r="AK136" i="48"/>
  <c r="L136" i="48"/>
  <c r="A14" i="50"/>
  <c r="AO15" i="50" s="1"/>
  <c r="J14" i="49"/>
  <c r="J18" i="49"/>
  <c r="BH20" i="50"/>
  <c r="BO20" i="50"/>
  <c r="T20" i="50"/>
  <c r="AY20" i="50"/>
  <c r="K6" i="49"/>
  <c r="K14" i="49"/>
  <c r="K16" i="49"/>
  <c r="K17" i="49"/>
  <c r="K18" i="49"/>
  <c r="K19" i="49"/>
  <c r="K20" i="49"/>
  <c r="K21" i="49"/>
  <c r="K22" i="49"/>
  <c r="K23" i="49"/>
  <c r="K24" i="49"/>
  <c r="X20" i="50"/>
  <c r="AN20" i="50"/>
  <c r="BD20" i="50"/>
  <c r="BR10" i="50"/>
  <c r="AQ20" i="50"/>
  <c r="BG20" i="50"/>
  <c r="H20" i="50"/>
  <c r="AV20" i="50"/>
  <c r="BL20" i="50"/>
  <c r="BI15" i="50"/>
  <c r="BL15" i="50"/>
  <c r="AZ15" i="50"/>
  <c r="BF15" i="50"/>
  <c r="BG15" i="50"/>
  <c r="M15" i="50"/>
  <c r="AI20" i="50"/>
  <c r="BR20" i="50"/>
  <c r="AU25" i="50"/>
  <c r="BJ25" i="50"/>
  <c r="AP25" i="50"/>
  <c r="AV25" i="50"/>
  <c r="BI25" i="50"/>
  <c r="BR60" i="50"/>
  <c r="AI60" i="50"/>
  <c r="L20" i="50"/>
  <c r="AB20" i="50"/>
  <c r="AI45" i="50"/>
  <c r="BR45" i="50"/>
  <c r="AR20" i="50"/>
  <c r="AZ20" i="50"/>
  <c r="BN20" i="50"/>
  <c r="BJ20" i="50"/>
  <c r="BF20" i="50"/>
  <c r="BB20" i="50"/>
  <c r="AX20" i="50"/>
  <c r="AT20" i="50"/>
  <c r="AP20" i="50"/>
  <c r="BM20" i="50"/>
  <c r="BI20" i="50"/>
  <c r="BE20" i="50"/>
  <c r="BA20" i="50"/>
  <c r="AW20" i="50"/>
  <c r="AS20" i="50"/>
  <c r="AO20" i="50"/>
  <c r="P20" i="50"/>
  <c r="AF20" i="50"/>
  <c r="AU20" i="50"/>
  <c r="BC20" i="50"/>
  <c r="BK20" i="50"/>
  <c r="AF15" i="50"/>
  <c r="AB15" i="50"/>
  <c r="X15" i="50"/>
  <c r="T15" i="50"/>
  <c r="P15" i="50"/>
  <c r="L15" i="50"/>
  <c r="H15" i="50"/>
  <c r="Z15" i="50"/>
  <c r="R15" i="50"/>
  <c r="J15" i="50"/>
  <c r="AG14" i="50"/>
  <c r="BP15" i="50" s="1"/>
  <c r="AC15" i="50"/>
  <c r="Y15" i="50"/>
  <c r="AE15" i="50"/>
  <c r="AA15" i="50"/>
  <c r="W15" i="50"/>
  <c r="S15" i="50"/>
  <c r="O15" i="50"/>
  <c r="K15" i="50"/>
  <c r="G15" i="50"/>
  <c r="AD15" i="50"/>
  <c r="V15" i="50"/>
  <c r="N15" i="50"/>
  <c r="F15" i="50"/>
  <c r="Q15" i="50"/>
  <c r="E15" i="50"/>
  <c r="U15" i="50"/>
  <c r="I20" i="50"/>
  <c r="Q20" i="50"/>
  <c r="U20" i="50"/>
  <c r="AC20" i="50"/>
  <c r="I25" i="50"/>
  <c r="Y25" i="50"/>
  <c r="AH60" i="50"/>
  <c r="AG19" i="50"/>
  <c r="BP20" i="50" s="1"/>
  <c r="F20" i="50"/>
  <c r="J20" i="50"/>
  <c r="N20" i="50"/>
  <c r="R20" i="50"/>
  <c r="V20" i="50"/>
  <c r="Z20" i="50"/>
  <c r="AD20" i="50"/>
  <c r="L25" i="50"/>
  <c r="T25" i="50"/>
  <c r="AB25" i="50"/>
  <c r="E20" i="50"/>
  <c r="M20" i="50"/>
  <c r="Y20" i="50"/>
  <c r="AE25" i="50"/>
  <c r="AA25" i="50"/>
  <c r="W25" i="50"/>
  <c r="S25" i="50"/>
  <c r="O25" i="50"/>
  <c r="K25" i="50"/>
  <c r="G25" i="50"/>
  <c r="AD25" i="50"/>
  <c r="Z25" i="50"/>
  <c r="V25" i="50"/>
  <c r="R25" i="50"/>
  <c r="N25" i="50"/>
  <c r="J25" i="50"/>
  <c r="F25" i="50"/>
  <c r="AG24" i="50"/>
  <c r="BP25" i="50" s="1"/>
  <c r="Q25" i="50"/>
  <c r="A64" i="50"/>
  <c r="A54" i="50"/>
  <c r="A59" i="50"/>
  <c r="A39" i="50"/>
  <c r="A49" i="50"/>
  <c r="A34" i="50"/>
  <c r="A29" i="50"/>
  <c r="A9" i="50"/>
  <c r="AB10" i="50" s="1"/>
  <c r="G20" i="50"/>
  <c r="K20" i="50"/>
  <c r="O20" i="50"/>
  <c r="S20" i="50"/>
  <c r="W20" i="50"/>
  <c r="AA20" i="50"/>
  <c r="AE20" i="50"/>
  <c r="E25" i="50"/>
  <c r="M25" i="50"/>
  <c r="U25" i="50"/>
  <c r="AC25" i="50"/>
  <c r="A44" i="50"/>
  <c r="AI35" i="50"/>
  <c r="P25" i="50" l="1"/>
  <c r="BO25" i="50"/>
  <c r="AT15" i="50"/>
  <c r="BM25" i="50"/>
  <c r="H25" i="50"/>
  <c r="AT25" i="50"/>
  <c r="AY25" i="50"/>
  <c r="BO15" i="50"/>
  <c r="BB15" i="50"/>
  <c r="AS15" i="50"/>
  <c r="BH25" i="50"/>
  <c r="AN25" i="50"/>
  <c r="BF25" i="50"/>
  <c r="BK25" i="50"/>
  <c r="AU15" i="50"/>
  <c r="AX15" i="50"/>
  <c r="AV15" i="50"/>
  <c r="BE15" i="50"/>
  <c r="AO25" i="50"/>
  <c r="BK15" i="50"/>
  <c r="AS25" i="50"/>
  <c r="AZ25" i="50"/>
  <c r="BD25" i="50"/>
  <c r="AX25" i="50"/>
  <c r="BN25" i="50"/>
  <c r="BC25" i="50"/>
  <c r="AQ15" i="50"/>
  <c r="I15" i="50"/>
  <c r="BN15" i="50"/>
  <c r="BJ15" i="50"/>
  <c r="BD15" i="50"/>
  <c r="AW15" i="50"/>
  <c r="BM15" i="50"/>
  <c r="BE25" i="50"/>
  <c r="BC15" i="50"/>
  <c r="AR25" i="50"/>
  <c r="BA25" i="50"/>
  <c r="X25" i="50"/>
  <c r="BL25" i="50"/>
  <c r="BB25" i="50"/>
  <c r="AQ25" i="50"/>
  <c r="BG25" i="50"/>
  <c r="AY15" i="50"/>
  <c r="AP15" i="50"/>
  <c r="AN15" i="50"/>
  <c r="AR15" i="50"/>
  <c r="BH15" i="50"/>
  <c r="BA15" i="50"/>
  <c r="AW25" i="50"/>
  <c r="J5" i="49"/>
  <c r="G3" i="49" s="1"/>
  <c r="J6" i="49"/>
  <c r="G4" i="49" s="1"/>
  <c r="BL30" i="50"/>
  <c r="BH30" i="50"/>
  <c r="BD30" i="50"/>
  <c r="AZ30" i="50"/>
  <c r="AV30" i="50"/>
  <c r="AR30" i="50"/>
  <c r="AN30" i="50"/>
  <c r="BO30" i="50"/>
  <c r="BK30" i="50"/>
  <c r="BG30" i="50"/>
  <c r="BC30" i="50"/>
  <c r="AY30" i="50"/>
  <c r="AU30" i="50"/>
  <c r="AQ30" i="50"/>
  <c r="BM30" i="50"/>
  <c r="BE30" i="50"/>
  <c r="AW30" i="50"/>
  <c r="AO30" i="50"/>
  <c r="BA30" i="50"/>
  <c r="BJ30" i="50"/>
  <c r="BB30" i="50"/>
  <c r="AT30" i="50"/>
  <c r="BI30" i="50"/>
  <c r="AS30" i="50"/>
  <c r="AP30" i="50"/>
  <c r="BN30" i="50"/>
  <c r="BF30" i="50"/>
  <c r="AX30" i="50"/>
  <c r="BN60" i="50"/>
  <c r="BJ60" i="50"/>
  <c r="BF60" i="50"/>
  <c r="BB60" i="50"/>
  <c r="AX60" i="50"/>
  <c r="AT60" i="50"/>
  <c r="AP60" i="50"/>
  <c r="BM60" i="50"/>
  <c r="BI60" i="50"/>
  <c r="BE60" i="50"/>
  <c r="BA60" i="50"/>
  <c r="AW60" i="50"/>
  <c r="AS60" i="50"/>
  <c r="AO60" i="50"/>
  <c r="BK60" i="50"/>
  <c r="BC60" i="50"/>
  <c r="AU60" i="50"/>
  <c r="AY60" i="50"/>
  <c r="BL60" i="50"/>
  <c r="BD60" i="50"/>
  <c r="AV60" i="50"/>
  <c r="BH60" i="50"/>
  <c r="AZ60" i="50"/>
  <c r="AR60" i="50"/>
  <c r="BO60" i="50"/>
  <c r="BG60" i="50"/>
  <c r="AQ60" i="50"/>
  <c r="AN60" i="50"/>
  <c r="BO45" i="50"/>
  <c r="BK45" i="50"/>
  <c r="BG45" i="50"/>
  <c r="BC45" i="50"/>
  <c r="AY45" i="50"/>
  <c r="AU45" i="50"/>
  <c r="AQ45" i="50"/>
  <c r="BN45" i="50"/>
  <c r="BJ45" i="50"/>
  <c r="BF45" i="50"/>
  <c r="BB45" i="50"/>
  <c r="AX45" i="50"/>
  <c r="AT45" i="50"/>
  <c r="AP45" i="50"/>
  <c r="BH45" i="50"/>
  <c r="AZ45" i="50"/>
  <c r="AR45" i="50"/>
  <c r="BD45" i="50"/>
  <c r="AN45" i="50"/>
  <c r="BM45" i="50"/>
  <c r="BE45" i="50"/>
  <c r="AW45" i="50"/>
  <c r="AO45" i="50"/>
  <c r="BL45" i="50"/>
  <c r="AV45" i="50"/>
  <c r="AS45" i="50"/>
  <c r="BI45" i="50"/>
  <c r="BA45" i="50"/>
  <c r="BL50" i="50"/>
  <c r="BH50" i="50"/>
  <c r="BD50" i="50"/>
  <c r="AZ50" i="50"/>
  <c r="AV50" i="50"/>
  <c r="AR50" i="50"/>
  <c r="AN50" i="50"/>
  <c r="BO50" i="50"/>
  <c r="BK50" i="50"/>
  <c r="BG50" i="50"/>
  <c r="BC50" i="50"/>
  <c r="AY50" i="50"/>
  <c r="AU50" i="50"/>
  <c r="AQ50" i="50"/>
  <c r="BI50" i="50"/>
  <c r="BA50" i="50"/>
  <c r="AS50" i="50"/>
  <c r="BM50" i="50"/>
  <c r="AW50" i="50"/>
  <c r="BN50" i="50"/>
  <c r="BF50" i="50"/>
  <c r="AX50" i="50"/>
  <c r="AP50" i="50"/>
  <c r="BE50" i="50"/>
  <c r="AO50" i="50"/>
  <c r="AT50" i="50"/>
  <c r="BJ50" i="50"/>
  <c r="BB50" i="50"/>
  <c r="BO65" i="50"/>
  <c r="BK65" i="50"/>
  <c r="BG65" i="50"/>
  <c r="BC65" i="50"/>
  <c r="AY65" i="50"/>
  <c r="AU65" i="50"/>
  <c r="AQ65" i="50"/>
  <c r="BN65" i="50"/>
  <c r="BJ65" i="50"/>
  <c r="BF65" i="50"/>
  <c r="BB65" i="50"/>
  <c r="AX65" i="50"/>
  <c r="AT65" i="50"/>
  <c r="AP65" i="50"/>
  <c r="BL65" i="50"/>
  <c r="BD65" i="50"/>
  <c r="AV65" i="50"/>
  <c r="AN65" i="50"/>
  <c r="BM65" i="50"/>
  <c r="BE65" i="50"/>
  <c r="AW65" i="50"/>
  <c r="AO65" i="50"/>
  <c r="BI65" i="50"/>
  <c r="BA65" i="50"/>
  <c r="AS65" i="50"/>
  <c r="BH65" i="50"/>
  <c r="AZ65" i="50"/>
  <c r="AR65" i="50"/>
  <c r="BM35" i="50"/>
  <c r="BI35" i="50"/>
  <c r="BE35" i="50"/>
  <c r="BA35" i="50"/>
  <c r="AW35" i="50"/>
  <c r="AS35" i="50"/>
  <c r="AO35" i="50"/>
  <c r="BL35" i="50"/>
  <c r="BH35" i="50"/>
  <c r="BD35" i="50"/>
  <c r="AZ35" i="50"/>
  <c r="AV35" i="50"/>
  <c r="AR35" i="50"/>
  <c r="AN35" i="50"/>
  <c r="BN35" i="50"/>
  <c r="BF35" i="50"/>
  <c r="AX35" i="50"/>
  <c r="AP35" i="50"/>
  <c r="BJ35" i="50"/>
  <c r="AT35" i="50"/>
  <c r="BK35" i="50"/>
  <c r="BC35" i="50"/>
  <c r="AU35" i="50"/>
  <c r="BB35" i="50"/>
  <c r="AQ35" i="50"/>
  <c r="BO35" i="50"/>
  <c r="BG35" i="50"/>
  <c r="AY35" i="50"/>
  <c r="BM55" i="50"/>
  <c r="BI55" i="50"/>
  <c r="BE55" i="50"/>
  <c r="BA55" i="50"/>
  <c r="AW55" i="50"/>
  <c r="AS55" i="50"/>
  <c r="AO55" i="50"/>
  <c r="BL55" i="50"/>
  <c r="BH55" i="50"/>
  <c r="BD55" i="50"/>
  <c r="AZ55" i="50"/>
  <c r="AV55" i="50"/>
  <c r="AR55" i="50"/>
  <c r="AN55" i="50"/>
  <c r="BJ55" i="50"/>
  <c r="BB55" i="50"/>
  <c r="AT55" i="50"/>
  <c r="BO55" i="50"/>
  <c r="BG55" i="50"/>
  <c r="AY55" i="50"/>
  <c r="AQ55" i="50"/>
  <c r="BN55" i="50"/>
  <c r="BF55" i="50"/>
  <c r="AX55" i="50"/>
  <c r="AP55" i="50"/>
  <c r="AU55" i="50"/>
  <c r="BK55" i="50"/>
  <c r="BC55" i="50"/>
  <c r="BL10" i="50"/>
  <c r="BH10" i="50"/>
  <c r="BD10" i="50"/>
  <c r="AZ10" i="50"/>
  <c r="AV10" i="50"/>
  <c r="AR10" i="50"/>
  <c r="BN10" i="50"/>
  <c r="BJ10" i="50"/>
  <c r="BF10" i="50"/>
  <c r="BB10" i="50"/>
  <c r="AX10" i="50"/>
  <c r="AT10" i="50"/>
  <c r="AP10" i="50"/>
  <c r="AN10" i="50"/>
  <c r="BO10" i="50"/>
  <c r="BK10" i="50"/>
  <c r="BG10" i="50"/>
  <c r="BC10" i="50"/>
  <c r="AY10" i="50"/>
  <c r="AU10" i="50"/>
  <c r="AQ10" i="50"/>
  <c r="BI10" i="50"/>
  <c r="AS10" i="50"/>
  <c r="BA10" i="50"/>
  <c r="BE10" i="50"/>
  <c r="AO10" i="50"/>
  <c r="BM10" i="50"/>
  <c r="AW10" i="50"/>
  <c r="BN40" i="50"/>
  <c r="BJ40" i="50"/>
  <c r="BF40" i="50"/>
  <c r="BB40" i="50"/>
  <c r="AX40" i="50"/>
  <c r="AT40" i="50"/>
  <c r="AP40" i="50"/>
  <c r="BM40" i="50"/>
  <c r="BI40" i="50"/>
  <c r="BE40" i="50"/>
  <c r="BA40" i="50"/>
  <c r="AW40" i="50"/>
  <c r="AS40" i="50"/>
  <c r="AO40" i="50"/>
  <c r="BO40" i="50"/>
  <c r="BG40" i="50"/>
  <c r="AY40" i="50"/>
  <c r="AQ40" i="50"/>
  <c r="BC40" i="50"/>
  <c r="BL40" i="50"/>
  <c r="BD40" i="50"/>
  <c r="AV40" i="50"/>
  <c r="AN40" i="50"/>
  <c r="BK40" i="50"/>
  <c r="AU40" i="50"/>
  <c r="AR40" i="50"/>
  <c r="BH40" i="50"/>
  <c r="AZ40" i="50"/>
  <c r="AD50" i="50"/>
  <c r="Z50" i="50"/>
  <c r="V50" i="50"/>
  <c r="R50" i="50"/>
  <c r="N50" i="50"/>
  <c r="J50" i="50"/>
  <c r="F50" i="50"/>
  <c r="AG49" i="50"/>
  <c r="BP50" i="50" s="1"/>
  <c r="AF50" i="50"/>
  <c r="AA50" i="50"/>
  <c r="U50" i="50"/>
  <c r="P50" i="50"/>
  <c r="K50" i="50"/>
  <c r="E50" i="50"/>
  <c r="AE50" i="50"/>
  <c r="Y50" i="50"/>
  <c r="T50" i="50"/>
  <c r="O50" i="50"/>
  <c r="I50" i="50"/>
  <c r="W50" i="50"/>
  <c r="L50" i="50"/>
  <c r="AC50" i="50"/>
  <c r="S50" i="50"/>
  <c r="H50" i="50"/>
  <c r="X50" i="50"/>
  <c r="Q50" i="50"/>
  <c r="M50" i="50"/>
  <c r="AB50" i="50"/>
  <c r="G50" i="50"/>
  <c r="AC65" i="50"/>
  <c r="Y65" i="50"/>
  <c r="U65" i="50"/>
  <c r="Q65" i="50"/>
  <c r="M65" i="50"/>
  <c r="I65" i="50"/>
  <c r="E65" i="50"/>
  <c r="AF65" i="50"/>
  <c r="AB65" i="50"/>
  <c r="X65" i="50"/>
  <c r="T65" i="50"/>
  <c r="P65" i="50"/>
  <c r="L65" i="50"/>
  <c r="H65" i="50"/>
  <c r="AE65" i="50"/>
  <c r="AA65" i="50"/>
  <c r="W65" i="50"/>
  <c r="S65" i="50"/>
  <c r="O65" i="50"/>
  <c r="K65" i="50"/>
  <c r="G65" i="50"/>
  <c r="R65" i="50"/>
  <c r="AG64" i="50"/>
  <c r="BP65" i="50" s="1"/>
  <c r="AD65" i="50"/>
  <c r="N65" i="50"/>
  <c r="Z65" i="50"/>
  <c r="V65" i="50"/>
  <c r="J65" i="50"/>
  <c r="F65" i="50"/>
  <c r="AH24" i="50"/>
  <c r="BQ25" i="50" s="1"/>
  <c r="AG25" i="50"/>
  <c r="AE45" i="50"/>
  <c r="AA45" i="50"/>
  <c r="W45" i="50"/>
  <c r="S45" i="50"/>
  <c r="O45" i="50"/>
  <c r="K45" i="50"/>
  <c r="G45" i="50"/>
  <c r="AF45" i="50"/>
  <c r="Z45" i="50"/>
  <c r="U45" i="50"/>
  <c r="P45" i="50"/>
  <c r="J45" i="50"/>
  <c r="E45" i="50"/>
  <c r="AD45" i="50"/>
  <c r="Y45" i="50"/>
  <c r="T45" i="50"/>
  <c r="N45" i="50"/>
  <c r="I45" i="50"/>
  <c r="AB45" i="50"/>
  <c r="Q45" i="50"/>
  <c r="F45" i="50"/>
  <c r="X45" i="50"/>
  <c r="M45" i="50"/>
  <c r="L45" i="50"/>
  <c r="AG44" i="50"/>
  <c r="BP45" i="50" s="1"/>
  <c r="AC45" i="50"/>
  <c r="H45" i="50"/>
  <c r="V45" i="50"/>
  <c r="R45" i="50"/>
  <c r="AD35" i="50"/>
  <c r="Z35" i="50"/>
  <c r="V35" i="50"/>
  <c r="R35" i="50"/>
  <c r="N35" i="50"/>
  <c r="AC35" i="50"/>
  <c r="X35" i="50"/>
  <c r="S35" i="50"/>
  <c r="M35" i="50"/>
  <c r="I35" i="50"/>
  <c r="E35" i="50"/>
  <c r="AB35" i="50"/>
  <c r="W35" i="50"/>
  <c r="Q35" i="50"/>
  <c r="L35" i="50"/>
  <c r="H35" i="50"/>
  <c r="AE35" i="50"/>
  <c r="T35" i="50"/>
  <c r="J35" i="50"/>
  <c r="Y35" i="50"/>
  <c r="O35" i="50"/>
  <c r="F35" i="50"/>
  <c r="U35" i="50"/>
  <c r="AA35" i="50"/>
  <c r="P35" i="50"/>
  <c r="G35" i="50"/>
  <c r="AG34" i="50"/>
  <c r="BP35" i="50" s="1"/>
  <c r="AF35" i="50"/>
  <c r="K35" i="50"/>
  <c r="AC55" i="50"/>
  <c r="Y55" i="50"/>
  <c r="U55" i="50"/>
  <c r="Q55" i="50"/>
  <c r="M55" i="50"/>
  <c r="I55" i="50"/>
  <c r="E55" i="50"/>
  <c r="AF55" i="50"/>
  <c r="AA55" i="50"/>
  <c r="V55" i="50"/>
  <c r="P55" i="50"/>
  <c r="K55" i="50"/>
  <c r="F55" i="50"/>
  <c r="AE55" i="50"/>
  <c r="Z55" i="50"/>
  <c r="T55" i="50"/>
  <c r="O55" i="50"/>
  <c r="J55" i="50"/>
  <c r="AB55" i="50"/>
  <c r="R55" i="50"/>
  <c r="G55" i="50"/>
  <c r="X55" i="50"/>
  <c r="N55" i="50"/>
  <c r="S55" i="50"/>
  <c r="W55" i="50"/>
  <c r="L55" i="50"/>
  <c r="AD55" i="50"/>
  <c r="H55" i="50"/>
  <c r="AG54" i="50"/>
  <c r="BP55" i="50" s="1"/>
  <c r="AJ28" i="50"/>
  <c r="AN225" i="23" s="1"/>
  <c r="AJ27" i="50"/>
  <c r="M204" i="23" s="1"/>
  <c r="AG15" i="50"/>
  <c r="AH14" i="50"/>
  <c r="BQ15" i="50" s="1"/>
  <c r="AC10" i="50"/>
  <c r="Y10" i="50"/>
  <c r="U10" i="50"/>
  <c r="Q10" i="50"/>
  <c r="M10" i="50"/>
  <c r="I10" i="50"/>
  <c r="E10" i="50"/>
  <c r="AE10" i="50"/>
  <c r="AA10" i="50"/>
  <c r="W10" i="50"/>
  <c r="S10" i="50"/>
  <c r="O10" i="50"/>
  <c r="K10" i="50"/>
  <c r="G10" i="50"/>
  <c r="AF10" i="50"/>
  <c r="X10" i="50"/>
  <c r="T10" i="50"/>
  <c r="P10" i="50"/>
  <c r="L10" i="50"/>
  <c r="H10" i="50"/>
  <c r="AD10" i="50"/>
  <c r="N10" i="50"/>
  <c r="AG9" i="50"/>
  <c r="BP10" i="50" s="1"/>
  <c r="Z10" i="50"/>
  <c r="J10" i="50"/>
  <c r="V10" i="50"/>
  <c r="F10" i="50"/>
  <c r="R10" i="50"/>
  <c r="AC40" i="50"/>
  <c r="Y40" i="50"/>
  <c r="U40" i="50"/>
  <c r="Q40" i="50"/>
  <c r="M40" i="50"/>
  <c r="I40" i="50"/>
  <c r="E40" i="50"/>
  <c r="AD40" i="50"/>
  <c r="X40" i="50"/>
  <c r="S40" i="50"/>
  <c r="N40" i="50"/>
  <c r="H40" i="50"/>
  <c r="AB40" i="50"/>
  <c r="W40" i="50"/>
  <c r="R40" i="50"/>
  <c r="L40" i="50"/>
  <c r="G40" i="50"/>
  <c r="AG39" i="50"/>
  <c r="BP40" i="50" s="1"/>
  <c r="Z40" i="50"/>
  <c r="O40" i="50"/>
  <c r="AA40" i="50"/>
  <c r="F40" i="50"/>
  <c r="AF40" i="50"/>
  <c r="V40" i="50"/>
  <c r="K40" i="50"/>
  <c r="AE40" i="50"/>
  <c r="T40" i="50"/>
  <c r="J40" i="50"/>
  <c r="P40" i="50"/>
  <c r="AD30" i="50"/>
  <c r="Z30" i="50"/>
  <c r="V30" i="50"/>
  <c r="R30" i="50"/>
  <c r="N30" i="50"/>
  <c r="J30" i="50"/>
  <c r="F30" i="50"/>
  <c r="AG29" i="50"/>
  <c r="BP30" i="50" s="1"/>
  <c r="AC30" i="50"/>
  <c r="Y30" i="50"/>
  <c r="U30" i="50"/>
  <c r="Q30" i="50"/>
  <c r="M30" i="50"/>
  <c r="I30" i="50"/>
  <c r="E30" i="50"/>
  <c r="AF30" i="50"/>
  <c r="X30" i="50"/>
  <c r="P30" i="50"/>
  <c r="H30" i="50"/>
  <c r="AA30" i="50"/>
  <c r="S30" i="50"/>
  <c r="K30" i="50"/>
  <c r="AE30" i="50"/>
  <c r="W30" i="50"/>
  <c r="O30" i="50"/>
  <c r="G30" i="50"/>
  <c r="AB30" i="50"/>
  <c r="T30" i="50"/>
  <c r="L30" i="50"/>
  <c r="AC60" i="50"/>
  <c r="AF60" i="50"/>
  <c r="AB60" i="50"/>
  <c r="X60" i="50"/>
  <c r="T60" i="50"/>
  <c r="P60" i="50"/>
  <c r="L60" i="50"/>
  <c r="H60" i="50"/>
  <c r="Z60" i="50"/>
  <c r="U60" i="50"/>
  <c r="O60" i="50"/>
  <c r="J60" i="50"/>
  <c r="E60" i="50"/>
  <c r="AE60" i="50"/>
  <c r="Y60" i="50"/>
  <c r="S60" i="50"/>
  <c r="N60" i="50"/>
  <c r="I60" i="50"/>
  <c r="AD60" i="50"/>
  <c r="R60" i="50"/>
  <c r="G60" i="50"/>
  <c r="AG59" i="50"/>
  <c r="BP60" i="50" s="1"/>
  <c r="AA60" i="50"/>
  <c r="Q60" i="50"/>
  <c r="F60" i="50"/>
  <c r="K60" i="50"/>
  <c r="W60" i="50"/>
  <c r="V60" i="50"/>
  <c r="M60" i="50"/>
  <c r="AH19" i="50"/>
  <c r="BQ20" i="50" s="1"/>
  <c r="AJ23" i="50" s="1"/>
  <c r="AM225" i="23" s="1"/>
  <c r="AG20" i="50"/>
  <c r="AJ22" i="50" l="1"/>
  <c r="K204" i="23" s="1"/>
  <c r="K200" i="23" s="1"/>
  <c r="H22" i="49"/>
  <c r="H17" i="49"/>
  <c r="E18" i="49"/>
  <c r="E14" i="49"/>
  <c r="E22" i="49"/>
  <c r="H18" i="49"/>
  <c r="H23" i="49"/>
  <c r="H15" i="49"/>
  <c r="E15" i="49"/>
  <c r="E19" i="49"/>
  <c r="E23" i="49"/>
  <c r="H14" i="49"/>
  <c r="H19" i="49"/>
  <c r="H24" i="49"/>
  <c r="H20" i="49"/>
  <c r="E16" i="49"/>
  <c r="E20" i="49"/>
  <c r="E24" i="49"/>
  <c r="H16" i="49"/>
  <c r="H21" i="49"/>
  <c r="H25" i="49"/>
  <c r="E17" i="49"/>
  <c r="E21" i="49"/>
  <c r="E25" i="49"/>
  <c r="AH44" i="50"/>
  <c r="BQ45" i="50" s="1"/>
  <c r="AG45" i="50"/>
  <c r="AH25" i="50"/>
  <c r="AI24" i="50"/>
  <c r="BR25" i="50" s="1"/>
  <c r="AG50" i="50"/>
  <c r="AH49" i="50"/>
  <c r="BQ50" i="50" s="1"/>
  <c r="AH20" i="50"/>
  <c r="AJ21" i="50"/>
  <c r="K201" i="23" s="1"/>
  <c r="AG30" i="50"/>
  <c r="AH29" i="50"/>
  <c r="BQ30" i="50" s="1"/>
  <c r="AG10" i="50"/>
  <c r="AH9" i="50"/>
  <c r="BQ10" i="50" s="1"/>
  <c r="AI14" i="50"/>
  <c r="BR15" i="50" s="1"/>
  <c r="AH15" i="50"/>
  <c r="AG65" i="50"/>
  <c r="AH64" i="50"/>
  <c r="BQ65" i="50" s="1"/>
  <c r="AJ68" i="50"/>
  <c r="AV225" i="23" s="1"/>
  <c r="AJ67" i="50"/>
  <c r="AC204" i="23" s="1"/>
  <c r="AG60" i="50"/>
  <c r="AJ61" i="50"/>
  <c r="AA201" i="23" s="1"/>
  <c r="AJ63" i="50"/>
  <c r="AU225" i="23" s="1"/>
  <c r="AJ62" i="50"/>
  <c r="AA204" i="23" s="1"/>
  <c r="AG40" i="50"/>
  <c r="AH39" i="50"/>
  <c r="BQ40" i="50" s="1"/>
  <c r="AG35" i="50"/>
  <c r="AH34" i="50"/>
  <c r="BQ35" i="50" s="1"/>
  <c r="AJ38" i="50" s="1"/>
  <c r="AP225" i="23" s="1"/>
  <c r="AJ43" i="50"/>
  <c r="AQ225" i="23" s="1"/>
  <c r="AJ42" i="50"/>
  <c r="S204" i="23" s="1"/>
  <c r="AJ13" i="50"/>
  <c r="AJ12" i="50"/>
  <c r="G204" i="23" s="1"/>
  <c r="AG55" i="50"/>
  <c r="AH54" i="50"/>
  <c r="BQ55" i="50" s="1"/>
  <c r="AJ48" i="50"/>
  <c r="AR225" i="23" s="1"/>
  <c r="AJ47" i="50"/>
  <c r="U204" i="23" s="1"/>
  <c r="AJ53" i="50"/>
  <c r="AS225" i="23" s="1"/>
  <c r="AJ52" i="50"/>
  <c r="W204" i="23" s="1"/>
  <c r="AJ2" i="23"/>
  <c r="AI387" i="23"/>
  <c r="AJ14" i="23"/>
  <c r="F412" i="23"/>
  <c r="L412" i="23"/>
  <c r="A391" i="23"/>
  <c r="AI285" i="23"/>
  <c r="AO1" i="47"/>
  <c r="AJ28" i="46"/>
  <c r="I42" i="46" s="1"/>
  <c r="R45" i="46" s="1"/>
  <c r="AO2" i="47"/>
  <c r="J1" i="47" s="1"/>
  <c r="AD41" i="48"/>
  <c r="AD48" i="48"/>
  <c r="AD49" i="48"/>
  <c r="AD50" i="48"/>
  <c r="AI485" i="23"/>
  <c r="AI486" i="23"/>
  <c r="AD78" i="48"/>
  <c r="AD146" i="48"/>
  <c r="AI97" i="23"/>
  <c r="AI99" i="23"/>
  <c r="AI100" i="23"/>
  <c r="AI101" i="23"/>
  <c r="J67" i="48"/>
  <c r="J68" i="48"/>
  <c r="J69" i="48"/>
  <c r="J70" i="48"/>
  <c r="J71" i="48"/>
  <c r="J72" i="48"/>
  <c r="J73" i="48"/>
  <c r="AI238" i="23"/>
  <c r="AI239" i="23"/>
  <c r="AI243" i="23"/>
  <c r="AI245" i="23"/>
  <c r="AI244" i="23"/>
  <c r="W90" i="48"/>
  <c r="AI73" i="23"/>
  <c r="T135" i="48"/>
  <c r="D135" i="48" s="1"/>
  <c r="T134" i="48"/>
  <c r="D134" i="48" s="1"/>
  <c r="T133" i="48"/>
  <c r="D133" i="48" s="1"/>
  <c r="H2" i="46"/>
  <c r="E3" i="19" s="1"/>
  <c r="A2" i="46"/>
  <c r="T104" i="48"/>
  <c r="D104" i="48" s="1"/>
  <c r="T103" i="48"/>
  <c r="D103" i="48" s="1"/>
  <c r="T102" i="48"/>
  <c r="D102" i="48" s="1"/>
  <c r="T101" i="48"/>
  <c r="D101" i="48" s="1"/>
  <c r="T100" i="48"/>
  <c r="D100" i="48" s="1"/>
  <c r="T99" i="48"/>
  <c r="D99" i="48" s="1"/>
  <c r="T98" i="48"/>
  <c r="D98" i="48" s="1"/>
  <c r="T97" i="48"/>
  <c r="D97" i="48" s="1"/>
  <c r="T96" i="48"/>
  <c r="D96" i="48" s="1"/>
  <c r="T95" i="48"/>
  <c r="D95" i="48" s="1"/>
  <c r="T94" i="48"/>
  <c r="D94" i="48" s="1"/>
  <c r="T93" i="48"/>
  <c r="D93" i="48" s="1"/>
  <c r="T92" i="48"/>
  <c r="D92" i="48" s="1"/>
  <c r="T91" i="48"/>
  <c r="D91" i="48" s="1"/>
  <c r="T90" i="48"/>
  <c r="D90" i="48" s="1"/>
  <c r="AI432" i="23"/>
  <c r="F3" i="47"/>
  <c r="AI470" i="23"/>
  <c r="B22" i="52"/>
  <c r="B19" i="52"/>
  <c r="B60" i="52" s="1"/>
  <c r="A54" i="52"/>
  <c r="AI162" i="23"/>
  <c r="K4" i="43"/>
  <c r="M4" i="43"/>
  <c r="B22" i="45"/>
  <c r="B19" i="45"/>
  <c r="B60" i="45" s="1"/>
  <c r="K7" i="45"/>
  <c r="K49" i="45" s="1"/>
  <c r="K6" i="45"/>
  <c r="K48" i="45" s="1"/>
  <c r="K7" i="52"/>
  <c r="K49" i="52" s="1"/>
  <c r="K6" i="52"/>
  <c r="K48" i="52" s="1"/>
  <c r="L44" i="52"/>
  <c r="A12" i="52"/>
  <c r="L2" i="52"/>
  <c r="L44" i="45"/>
  <c r="AI422" i="23"/>
  <c r="AI397" i="23"/>
  <c r="AI464" i="23"/>
  <c r="AI459" i="23"/>
  <c r="AI445" i="23"/>
  <c r="AI480" i="23"/>
  <c r="AI482" i="23"/>
  <c r="AI488" i="23"/>
  <c r="AI489" i="23"/>
  <c r="AI223" i="23"/>
  <c r="AI221" i="23"/>
  <c r="AA437" i="23"/>
  <c r="AI437" i="23" s="1"/>
  <c r="AI436" i="23"/>
  <c r="AJ312" i="23"/>
  <c r="AK312" i="23" s="1"/>
  <c r="AL312" i="23" s="1"/>
  <c r="AM312" i="23" s="1"/>
  <c r="AN312" i="23" s="1"/>
  <c r="AO312" i="23" s="1"/>
  <c r="AP312" i="23" s="1"/>
  <c r="AQ312" i="23" s="1"/>
  <c r="AR312" i="23" s="1"/>
  <c r="AS312" i="23" s="1"/>
  <c r="AT312" i="23" s="1"/>
  <c r="AU312" i="23" s="1"/>
  <c r="AJ306" i="23"/>
  <c r="AK306" i="23" s="1"/>
  <c r="AL306" i="23" s="1"/>
  <c r="AM306" i="23" s="1"/>
  <c r="AN306" i="23" s="1"/>
  <c r="AO306" i="23" s="1"/>
  <c r="AP306" i="23" s="1"/>
  <c r="AQ306" i="23" s="1"/>
  <c r="AR306" i="23" s="1"/>
  <c r="AS306" i="23" s="1"/>
  <c r="AT306" i="23" s="1"/>
  <c r="AU306" i="23" s="1"/>
  <c r="AI300" i="23"/>
  <c r="AI272" i="23"/>
  <c r="AI276" i="23"/>
  <c r="AI275" i="23"/>
  <c r="AI274" i="23"/>
  <c r="AA262" i="23"/>
  <c r="AI262" i="23" s="1"/>
  <c r="AI265" i="23"/>
  <c r="AI264" i="23"/>
  <c r="AI263" i="23"/>
  <c r="AI261" i="23"/>
  <c r="AI260" i="23"/>
  <c r="AI259" i="23"/>
  <c r="AI257" i="23"/>
  <c r="A244" i="23"/>
  <c r="T45" i="48"/>
  <c r="T47" i="48"/>
  <c r="T46" i="48"/>
  <c r="T48" i="48"/>
  <c r="T40" i="48"/>
  <c r="T38" i="48"/>
  <c r="T42" i="48"/>
  <c r="T44" i="48"/>
  <c r="T77" i="48"/>
  <c r="O78" i="48"/>
  <c r="N78" i="48"/>
  <c r="AI196" i="23"/>
  <c r="AI195" i="23"/>
  <c r="AI193" i="23"/>
  <c r="AI192" i="23"/>
  <c r="AI190" i="23"/>
  <c r="AI185" i="23"/>
  <c r="AI178" i="23"/>
  <c r="AI173" i="23"/>
  <c r="AI170" i="23"/>
  <c r="R56" i="48" s="1"/>
  <c r="AI157" i="23"/>
  <c r="T54" i="48"/>
  <c r="AE54" i="48"/>
  <c r="AI151" i="23"/>
  <c r="AI120" i="23"/>
  <c r="AI113" i="23"/>
  <c r="W42" i="48"/>
  <c r="AI93" i="23"/>
  <c r="J92" i="23" s="1"/>
  <c r="AJ20" i="23" s="1"/>
  <c r="T51" i="48"/>
  <c r="T43" i="48"/>
  <c r="T49" i="48"/>
  <c r="AA84" i="23"/>
  <c r="AA83" i="23" s="1"/>
  <c r="AI82" i="23"/>
  <c r="AI81" i="23"/>
  <c r="AI79" i="23"/>
  <c r="AI78" i="23"/>
  <c r="AI77" i="23"/>
  <c r="AI75" i="23"/>
  <c r="AI74" i="23"/>
  <c r="AI71" i="23"/>
  <c r="F179" i="48"/>
  <c r="F180" i="48"/>
  <c r="K3" i="48"/>
  <c r="O63" i="48"/>
  <c r="O62" i="48"/>
  <c r="O61" i="48"/>
  <c r="D190" i="48"/>
  <c r="D183" i="48"/>
  <c r="D186" i="48" s="1"/>
  <c r="W124" i="48"/>
  <c r="T124" i="48"/>
  <c r="D124" i="48" s="1"/>
  <c r="J124" i="48"/>
  <c r="W123" i="48"/>
  <c r="T123" i="48"/>
  <c r="D123" i="48" s="1"/>
  <c r="J123" i="48"/>
  <c r="W122" i="48"/>
  <c r="T122" i="48"/>
  <c r="D122" i="48" s="1"/>
  <c r="W121" i="48"/>
  <c r="J121" i="48"/>
  <c r="W120" i="48"/>
  <c r="J120" i="48"/>
  <c r="W114" i="48"/>
  <c r="J114" i="48"/>
  <c r="W113" i="48"/>
  <c r="J113" i="48"/>
  <c r="W112" i="48"/>
  <c r="J112" i="48"/>
  <c r="W111" i="48"/>
  <c r="J111" i="48"/>
  <c r="W110" i="48"/>
  <c r="J110" i="48"/>
  <c r="AE75" i="48"/>
  <c r="AE63" i="48"/>
  <c r="N63" i="48"/>
  <c r="AE62" i="48"/>
  <c r="N62" i="48"/>
  <c r="AE61" i="48"/>
  <c r="N61" i="48"/>
  <c r="AE60" i="48"/>
  <c r="T74" i="48"/>
  <c r="AE58" i="48"/>
  <c r="T58" i="48"/>
  <c r="T53" i="48"/>
  <c r="T52" i="48"/>
  <c r="AT9" i="48"/>
  <c r="A159" i="48" s="1"/>
  <c r="T147" i="46"/>
  <c r="T148" i="46"/>
  <c r="T149" i="46"/>
  <c r="T150" i="46"/>
  <c r="T151" i="46"/>
  <c r="Q51" i="48"/>
  <c r="N51" i="48" s="1"/>
  <c r="A155" i="48"/>
  <c r="AT3" i="48"/>
  <c r="BD4" i="48" s="1"/>
  <c r="M9" i="48"/>
  <c r="N9" i="48" s="1"/>
  <c r="M8" i="48"/>
  <c r="N8" i="48" s="1"/>
  <c r="J10" i="48"/>
  <c r="K10" i="48"/>
  <c r="L10" i="48"/>
  <c r="G10" i="48"/>
  <c r="H10" i="48"/>
  <c r="F10" i="48"/>
  <c r="P41" i="46"/>
  <c r="P135" i="46" s="1"/>
  <c r="Q3" i="53"/>
  <c r="N19" i="53" s="1"/>
  <c r="N37" i="53"/>
  <c r="L37" i="53" s="1"/>
  <c r="N36" i="53"/>
  <c r="L36" i="53" s="1"/>
  <c r="N32" i="53"/>
  <c r="L32" i="53" s="1"/>
  <c r="N30" i="53"/>
  <c r="L30" i="53" s="1"/>
  <c r="N29" i="53"/>
  <c r="L29" i="53" s="1"/>
  <c r="N28" i="53"/>
  <c r="L28" i="53"/>
  <c r="N27" i="53"/>
  <c r="L27" i="53" s="1"/>
  <c r="N25" i="53"/>
  <c r="L25" i="53" s="1"/>
  <c r="N24" i="53"/>
  <c r="L24" i="53" s="1"/>
  <c r="N21" i="53"/>
  <c r="L21" i="53" s="1"/>
  <c r="N20" i="53"/>
  <c r="L20" i="53" s="1"/>
  <c r="N18" i="53"/>
  <c r="L18" i="53" s="1"/>
  <c r="N17" i="53"/>
  <c r="L17" i="53" s="1"/>
  <c r="N16" i="53"/>
  <c r="L16" i="53" s="1"/>
  <c r="N15" i="53"/>
  <c r="L15" i="53" s="1"/>
  <c r="N13" i="53"/>
  <c r="L13" i="53" s="1"/>
  <c r="N12" i="53"/>
  <c r="L12" i="53" s="1"/>
  <c r="R3" i="53"/>
  <c r="P74" i="52"/>
  <c r="J67" i="52"/>
  <c r="S69" i="52" s="1"/>
  <c r="D67" i="52"/>
  <c r="R69" i="52" s="1"/>
  <c r="S27" i="52"/>
  <c r="F146" i="48"/>
  <c r="W146" i="48" s="1"/>
  <c r="W145" i="48"/>
  <c r="T145" i="48"/>
  <c r="D145" i="48" s="1"/>
  <c r="J145" i="48"/>
  <c r="W144" i="48"/>
  <c r="T144" i="48"/>
  <c r="D144" i="48" s="1"/>
  <c r="J144" i="48"/>
  <c r="W143" i="48"/>
  <c r="T143" i="48"/>
  <c r="D143" i="48" s="1"/>
  <c r="J143" i="48"/>
  <c r="W142" i="48"/>
  <c r="T142" i="48"/>
  <c r="D142" i="48" s="1"/>
  <c r="J142" i="48"/>
  <c r="W141" i="48"/>
  <c r="T141" i="48"/>
  <c r="D141" i="48" s="1"/>
  <c r="J141" i="48"/>
  <c r="AU107" i="48"/>
  <c r="W140" i="48"/>
  <c r="T140" i="48"/>
  <c r="D140" i="48" s="1"/>
  <c r="J140" i="48"/>
  <c r="AU106" i="48"/>
  <c r="W139" i="48"/>
  <c r="T139" i="48"/>
  <c r="D139" i="48" s="1"/>
  <c r="J139" i="48"/>
  <c r="AU105" i="48"/>
  <c r="W138" i="48"/>
  <c r="T138" i="48"/>
  <c r="D138" i="48" s="1"/>
  <c r="J138" i="48"/>
  <c r="AU104" i="48"/>
  <c r="W137" i="48"/>
  <c r="T137" i="48"/>
  <c r="D137" i="48" s="1"/>
  <c r="J137" i="48"/>
  <c r="AU103" i="48"/>
  <c r="T136" i="48"/>
  <c r="D136" i="48" s="1"/>
  <c r="AU102" i="48"/>
  <c r="W135" i="48"/>
  <c r="J135" i="48"/>
  <c r="AU101" i="48"/>
  <c r="W134" i="48"/>
  <c r="J134" i="48"/>
  <c r="AU100" i="48"/>
  <c r="W133" i="48"/>
  <c r="J133" i="48"/>
  <c r="AU99" i="48"/>
  <c r="W132" i="48"/>
  <c r="T132" i="48"/>
  <c r="D132" i="48" s="1"/>
  <c r="J132" i="48"/>
  <c r="AU98" i="48"/>
  <c r="W131" i="48"/>
  <c r="T131" i="48"/>
  <c r="D131" i="48" s="1"/>
  <c r="J131" i="48"/>
  <c r="AU97" i="48"/>
  <c r="W130" i="48"/>
  <c r="T130" i="48"/>
  <c r="D130" i="48" s="1"/>
  <c r="J130" i="48"/>
  <c r="AU96" i="48"/>
  <c r="W129" i="48"/>
  <c r="J129" i="48"/>
  <c r="AU95" i="48"/>
  <c r="W128" i="48"/>
  <c r="J128" i="48"/>
  <c r="AU94" i="48"/>
  <c r="W127" i="48"/>
  <c r="J127" i="48"/>
  <c r="AU93" i="48"/>
  <c r="W126" i="48"/>
  <c r="J126" i="48"/>
  <c r="AU92" i="48"/>
  <c r="W125" i="48"/>
  <c r="J125" i="48"/>
  <c r="AU91" i="48"/>
  <c r="W119" i="48"/>
  <c r="J119" i="48"/>
  <c r="AU90" i="48"/>
  <c r="W118" i="48"/>
  <c r="J118" i="48"/>
  <c r="AU89" i="48"/>
  <c r="W117" i="48"/>
  <c r="J117" i="48"/>
  <c r="AU88" i="48"/>
  <c r="W116" i="48"/>
  <c r="J116" i="48"/>
  <c r="AU87" i="48"/>
  <c r="W115" i="48"/>
  <c r="J115" i="48"/>
  <c r="AU86" i="48"/>
  <c r="W109" i="48"/>
  <c r="J109" i="48"/>
  <c r="AU85" i="48"/>
  <c r="W108" i="48"/>
  <c r="J108" i="48"/>
  <c r="AU84" i="48"/>
  <c r="W107" i="48"/>
  <c r="J107" i="48"/>
  <c r="AU83" i="48"/>
  <c r="W106" i="48"/>
  <c r="AU82" i="48"/>
  <c r="W105" i="48"/>
  <c r="J105" i="48"/>
  <c r="AU81" i="48"/>
  <c r="W104" i="48"/>
  <c r="J104" i="48"/>
  <c r="AU80" i="48"/>
  <c r="W103" i="48"/>
  <c r="J103" i="48"/>
  <c r="AU79" i="48"/>
  <c r="W102" i="48"/>
  <c r="AU78" i="48"/>
  <c r="W101" i="48"/>
  <c r="J101" i="48"/>
  <c r="AU77" i="48"/>
  <c r="W100" i="48"/>
  <c r="J100" i="48"/>
  <c r="AU76" i="48"/>
  <c r="W99" i="48"/>
  <c r="AU75" i="48"/>
  <c r="W98" i="48"/>
  <c r="J98" i="48"/>
  <c r="AU74" i="48"/>
  <c r="W97" i="48"/>
  <c r="AU73" i="48"/>
  <c r="W96" i="48"/>
  <c r="J96" i="48"/>
  <c r="AU72" i="48"/>
  <c r="W95" i="48"/>
  <c r="J95" i="48"/>
  <c r="AU71" i="48"/>
  <c r="W94" i="48"/>
  <c r="J94" i="48"/>
  <c r="AU70" i="48"/>
  <c r="W93" i="48"/>
  <c r="J93" i="48"/>
  <c r="AU69" i="48"/>
  <c r="W92" i="48"/>
  <c r="J92" i="48"/>
  <c r="AU68" i="48"/>
  <c r="W91" i="48"/>
  <c r="AU67" i="48"/>
  <c r="AU66" i="48"/>
  <c r="AU65" i="48"/>
  <c r="AU64" i="48"/>
  <c r="AU63" i="48"/>
  <c r="T86" i="48"/>
  <c r="J86" i="48"/>
  <c r="AU62" i="48"/>
  <c r="T85" i="48"/>
  <c r="J85" i="48"/>
  <c r="AU61" i="48"/>
  <c r="T84" i="48"/>
  <c r="AU60" i="48"/>
  <c r="T83" i="48"/>
  <c r="AU59" i="48"/>
  <c r="T82" i="48"/>
  <c r="AU58" i="48"/>
  <c r="T81" i="48"/>
  <c r="AU56" i="48"/>
  <c r="AU55" i="48"/>
  <c r="T76" i="48"/>
  <c r="AU54" i="48"/>
  <c r="AU53" i="48"/>
  <c r="AU52" i="48"/>
  <c r="AU51" i="48"/>
  <c r="AU50" i="48"/>
  <c r="AU49" i="48"/>
  <c r="AU48" i="48"/>
  <c r="AU47" i="48"/>
  <c r="T73" i="48"/>
  <c r="O73" i="48"/>
  <c r="N73" i="48"/>
  <c r="AU46" i="48"/>
  <c r="T72" i="48"/>
  <c r="O72" i="48"/>
  <c r="N72" i="48"/>
  <c r="AU45" i="48"/>
  <c r="T71" i="48"/>
  <c r="O71" i="48"/>
  <c r="N71" i="48"/>
  <c r="AU44" i="48"/>
  <c r="T70" i="48"/>
  <c r="O70" i="48"/>
  <c r="N70" i="48"/>
  <c r="AU43" i="48"/>
  <c r="T69" i="48"/>
  <c r="O69" i="48"/>
  <c r="N69" i="48"/>
  <c r="AU42" i="48"/>
  <c r="T68" i="48"/>
  <c r="O68" i="48"/>
  <c r="N68" i="48"/>
  <c r="AU41" i="48"/>
  <c r="T67" i="48"/>
  <c r="O67" i="48"/>
  <c r="N67" i="48"/>
  <c r="AU40" i="48"/>
  <c r="T66" i="48"/>
  <c r="O66" i="48"/>
  <c r="N66" i="48"/>
  <c r="AU39" i="48"/>
  <c r="T65" i="48"/>
  <c r="O65" i="48"/>
  <c r="N65" i="48"/>
  <c r="AU38" i="48"/>
  <c r="T64" i="48"/>
  <c r="AU37" i="48"/>
  <c r="AE55" i="48"/>
  <c r="T55" i="48"/>
  <c r="AU36" i="48"/>
  <c r="AU35" i="48"/>
  <c r="AU34" i="48"/>
  <c r="AU33" i="48"/>
  <c r="AU32" i="48"/>
  <c r="AU31" i="48"/>
  <c r="Q38" i="48"/>
  <c r="AU30" i="48"/>
  <c r="AU29" i="48"/>
  <c r="AU28" i="48"/>
  <c r="T33" i="48"/>
  <c r="AU27" i="48"/>
  <c r="T32" i="48"/>
  <c r="AU26" i="48"/>
  <c r="T31" i="48"/>
  <c r="W31" i="48"/>
  <c r="AU25" i="48"/>
  <c r="AU24" i="48"/>
  <c r="AU23" i="48"/>
  <c r="AU22" i="48"/>
  <c r="AU21" i="48"/>
  <c r="AU20" i="48"/>
  <c r="AU19" i="48"/>
  <c r="L24" i="48"/>
  <c r="K24" i="48"/>
  <c r="J24" i="48"/>
  <c r="I24" i="48"/>
  <c r="H24" i="48"/>
  <c r="G24" i="48"/>
  <c r="F24" i="48"/>
  <c r="AU18" i="48"/>
  <c r="M23" i="48"/>
  <c r="AU17" i="48"/>
  <c r="M22" i="48"/>
  <c r="AU16" i="48"/>
  <c r="M21" i="48"/>
  <c r="AU15" i="48"/>
  <c r="M20" i="48"/>
  <c r="AU14" i="48"/>
  <c r="AU13" i="48"/>
  <c r="AU12" i="48"/>
  <c r="L17" i="48"/>
  <c r="K17" i="48"/>
  <c r="J17" i="48"/>
  <c r="H17" i="48"/>
  <c r="G17" i="48"/>
  <c r="BV11" i="48"/>
  <c r="BT11" i="48"/>
  <c r="AU11" i="48"/>
  <c r="M16" i="48"/>
  <c r="BV10" i="48"/>
  <c r="U50" i="48" s="1"/>
  <c r="AE50" i="48" s="1"/>
  <c r="BT10" i="48"/>
  <c r="AU10" i="48"/>
  <c r="M15" i="48"/>
  <c r="BV9" i="48"/>
  <c r="U78" i="48" s="1"/>
  <c r="AE78" i="48" s="1"/>
  <c r="BT9" i="48"/>
  <c r="AU9" i="48"/>
  <c r="M14" i="48"/>
  <c r="N14" i="48" s="1"/>
  <c r="AW8" i="48"/>
  <c r="AU8" i="48"/>
  <c r="M13" i="48"/>
  <c r="BV7" i="48"/>
  <c r="U146" i="48" s="1"/>
  <c r="AE146" i="48" s="1"/>
  <c r="BT7" i="48"/>
  <c r="AG146" i="48" s="1"/>
  <c r="D146" i="48" s="1"/>
  <c r="AT10" i="48"/>
  <c r="A160" i="48" s="1"/>
  <c r="AT8" i="48"/>
  <c r="A158" i="48" s="1"/>
  <c r="AT7" i="48"/>
  <c r="A157" i="48" s="1"/>
  <c r="AT6" i="48"/>
  <c r="A156" i="48" s="1"/>
  <c r="AT4" i="48"/>
  <c r="BD3" i="48" s="1"/>
  <c r="AT2" i="48"/>
  <c r="A153" i="48" s="1"/>
  <c r="AN2" i="48"/>
  <c r="AY10" i="48" s="1"/>
  <c r="AG107" i="47"/>
  <c r="AF107" i="47"/>
  <c r="AE107" i="47"/>
  <c r="AD107" i="47"/>
  <c r="AC107" i="47"/>
  <c r="AB107" i="47"/>
  <c r="AA107" i="47"/>
  <c r="Z107" i="47"/>
  <c r="Y107" i="47"/>
  <c r="X107" i="47"/>
  <c r="W107" i="47"/>
  <c r="V107" i="47"/>
  <c r="U107" i="47"/>
  <c r="T107" i="47"/>
  <c r="S107" i="47"/>
  <c r="R107" i="47"/>
  <c r="Q107" i="47"/>
  <c r="P107" i="47"/>
  <c r="O107" i="47"/>
  <c r="N107" i="47"/>
  <c r="M107" i="47"/>
  <c r="L107" i="47"/>
  <c r="K107" i="47"/>
  <c r="J107" i="47"/>
  <c r="I107" i="47"/>
  <c r="H107" i="47"/>
  <c r="G107" i="47"/>
  <c r="F107" i="47"/>
  <c r="B106" i="47"/>
  <c r="B105" i="47"/>
  <c r="B104" i="47"/>
  <c r="B103" i="47"/>
  <c r="B102" i="47"/>
  <c r="B101" i="47"/>
  <c r="B100" i="47"/>
  <c r="B99" i="47"/>
  <c r="B98" i="47"/>
  <c r="B97" i="47"/>
  <c r="B96" i="47"/>
  <c r="B95" i="47"/>
  <c r="B94" i="47"/>
  <c r="B93" i="47"/>
  <c r="B92" i="47"/>
  <c r="B91" i="47"/>
  <c r="B90" i="47"/>
  <c r="B89" i="47"/>
  <c r="B88" i="47"/>
  <c r="B87" i="47"/>
  <c r="B86" i="47"/>
  <c r="B85" i="47"/>
  <c r="B84" i="47"/>
  <c r="B83" i="47"/>
  <c r="B82" i="47"/>
  <c r="B81" i="47"/>
  <c r="B80" i="47"/>
  <c r="B79" i="47"/>
  <c r="B78" i="47"/>
  <c r="B77" i="47"/>
  <c r="B76" i="47"/>
  <c r="B75" i="47"/>
  <c r="B74" i="47"/>
  <c r="B73" i="47"/>
  <c r="B72" i="47"/>
  <c r="B71" i="47"/>
  <c r="B70" i="47"/>
  <c r="B69" i="47"/>
  <c r="B68" i="47"/>
  <c r="B67" i="47"/>
  <c r="B66" i="47"/>
  <c r="B65" i="47"/>
  <c r="B64" i="47"/>
  <c r="B63" i="47"/>
  <c r="B62" i="47"/>
  <c r="B61" i="47"/>
  <c r="B60" i="47"/>
  <c r="B59" i="47"/>
  <c r="B58" i="47"/>
  <c r="B57" i="47"/>
  <c r="B56" i="47"/>
  <c r="B55" i="47"/>
  <c r="B54" i="47"/>
  <c r="B53" i="47"/>
  <c r="B52" i="47"/>
  <c r="B51" i="47"/>
  <c r="B50" i="47"/>
  <c r="B49" i="47"/>
  <c r="B48" i="47"/>
  <c r="B47" i="47"/>
  <c r="B46" i="47"/>
  <c r="B45" i="47"/>
  <c r="B44" i="47"/>
  <c r="B43" i="47"/>
  <c r="B42" i="47"/>
  <c r="B41" i="47"/>
  <c r="B40" i="47"/>
  <c r="B39" i="47"/>
  <c r="B38" i="47"/>
  <c r="B37" i="47"/>
  <c r="B36" i="47"/>
  <c r="B35" i="47"/>
  <c r="B34" i="47"/>
  <c r="B33" i="47"/>
  <c r="B32" i="47"/>
  <c r="B31" i="47"/>
  <c r="B30" i="47"/>
  <c r="B29" i="47"/>
  <c r="B28" i="47"/>
  <c r="B27" i="47"/>
  <c r="B26" i="47"/>
  <c r="B25" i="47"/>
  <c r="B24" i="47"/>
  <c r="B23" i="47"/>
  <c r="B22" i="47"/>
  <c r="B21" i="47"/>
  <c r="B20" i="47"/>
  <c r="B19" i="47"/>
  <c r="B18" i="47"/>
  <c r="B17" i="47"/>
  <c r="B16" i="47"/>
  <c r="B15" i="47"/>
  <c r="B14" i="47"/>
  <c r="B13" i="47"/>
  <c r="B12" i="47"/>
  <c r="B11" i="47"/>
  <c r="B10" i="47"/>
  <c r="B9" i="47"/>
  <c r="B8" i="47"/>
  <c r="B7" i="47"/>
  <c r="AH2" i="47"/>
  <c r="T145" i="46"/>
  <c r="T144" i="46"/>
  <c r="A44" i="46"/>
  <c r="A45" i="46" s="1"/>
  <c r="A46" i="46" s="1"/>
  <c r="A47" i="46" s="1"/>
  <c r="A48" i="46" s="1"/>
  <c r="A49" i="46" s="1"/>
  <c r="A50" i="46" s="1"/>
  <c r="A51" i="46" s="1"/>
  <c r="A52" i="46" s="1"/>
  <c r="A53" i="46" s="1"/>
  <c r="A54" i="46" s="1"/>
  <c r="A55" i="46" s="1"/>
  <c r="A56" i="46" s="1"/>
  <c r="A57" i="46" s="1"/>
  <c r="A58" i="46" s="1"/>
  <c r="A59" i="46" s="1"/>
  <c r="A60" i="46" s="1"/>
  <c r="A61" i="46" s="1"/>
  <c r="A62" i="46" s="1"/>
  <c r="A63" i="46" s="1"/>
  <c r="A64" i="46" s="1"/>
  <c r="A65" i="46" s="1"/>
  <c r="A66" i="46" s="1"/>
  <c r="A67" i="46" s="1"/>
  <c r="A68" i="46" s="1"/>
  <c r="A69" i="46" s="1"/>
  <c r="A70" i="46" s="1"/>
  <c r="A71" i="46" s="1"/>
  <c r="A72" i="46" s="1"/>
  <c r="A73" i="46" s="1"/>
  <c r="A74" i="46" s="1"/>
  <c r="A75" i="46" s="1"/>
  <c r="A76" i="46" s="1"/>
  <c r="A77" i="46" s="1"/>
  <c r="A78" i="46" s="1"/>
  <c r="A79" i="46" s="1"/>
  <c r="A80" i="46" s="1"/>
  <c r="A81" i="46" s="1"/>
  <c r="A82" i="46" s="1"/>
  <c r="A83" i="46" s="1"/>
  <c r="A84" i="46" s="1"/>
  <c r="A85" i="46" s="1"/>
  <c r="A86" i="46" s="1"/>
  <c r="A87" i="46" s="1"/>
  <c r="A88" i="46" s="1"/>
  <c r="A89" i="46" s="1"/>
  <c r="A90" i="46" s="1"/>
  <c r="A91" i="46" s="1"/>
  <c r="A92" i="46" s="1"/>
  <c r="A93" i="46" s="1"/>
  <c r="A94" i="46" s="1"/>
  <c r="A95" i="46" s="1"/>
  <c r="A96" i="46" s="1"/>
  <c r="A97" i="46" s="1"/>
  <c r="A98" i="46" s="1"/>
  <c r="A99" i="46" s="1"/>
  <c r="A100" i="46" s="1"/>
  <c r="A101" i="46" s="1"/>
  <c r="A102" i="46" s="1"/>
  <c r="A103" i="46" s="1"/>
  <c r="A104" i="46" s="1"/>
  <c r="A105" i="46" s="1"/>
  <c r="A106" i="46" s="1"/>
  <c r="A107" i="46" s="1"/>
  <c r="A108" i="46" s="1"/>
  <c r="A109" i="46" s="1"/>
  <c r="A110" i="46" s="1"/>
  <c r="A111" i="46" s="1"/>
  <c r="A112" i="46" s="1"/>
  <c r="A113" i="46" s="1"/>
  <c r="A114" i="46" s="1"/>
  <c r="A115" i="46" s="1"/>
  <c r="A116" i="46" s="1"/>
  <c r="A117" i="46" s="1"/>
  <c r="A118" i="46" s="1"/>
  <c r="A119" i="46" s="1"/>
  <c r="A120" i="46" s="1"/>
  <c r="A121" i="46" s="1"/>
  <c r="A122" i="46" s="1"/>
  <c r="A123" i="46" s="1"/>
  <c r="A124" i="46" s="1"/>
  <c r="A125" i="46" s="1"/>
  <c r="A126" i="46" s="1"/>
  <c r="A127" i="46" s="1"/>
  <c r="A128" i="46" s="1"/>
  <c r="A129" i="46" s="1"/>
  <c r="A130" i="46" s="1"/>
  <c r="A131" i="46" s="1"/>
  <c r="A132" i="46" s="1"/>
  <c r="A133" i="46" s="1"/>
  <c r="A134" i="46" s="1"/>
  <c r="A135" i="46" s="1"/>
  <c r="A136" i="46" s="1"/>
  <c r="A137" i="46" s="1"/>
  <c r="A138" i="46" s="1"/>
  <c r="A139" i="46" s="1"/>
  <c r="A140" i="46" s="1"/>
  <c r="A141" i="46" s="1"/>
  <c r="A142" i="46" s="1"/>
  <c r="A143" i="46" s="1"/>
  <c r="B42" i="46"/>
  <c r="Y41" i="46"/>
  <c r="X41" i="46"/>
  <c r="W41" i="46"/>
  <c r="S41" i="46"/>
  <c r="N41" i="46"/>
  <c r="N57" i="46" s="1"/>
  <c r="AA40" i="46"/>
  <c r="AA86" i="46" s="1"/>
  <c r="W40" i="46"/>
  <c r="V40" i="46"/>
  <c r="V69" i="46" s="1"/>
  <c r="U40" i="46"/>
  <c r="U124" i="46" s="1"/>
  <c r="G34" i="46"/>
  <c r="F34" i="46"/>
  <c r="S34" i="46" s="1"/>
  <c r="A34" i="46"/>
  <c r="G33" i="46"/>
  <c r="F33" i="46"/>
  <c r="A33" i="46"/>
  <c r="G32" i="46"/>
  <c r="F32" i="46"/>
  <c r="P32" i="46" s="1"/>
  <c r="A32" i="46"/>
  <c r="A31" i="46"/>
  <c r="G30" i="46"/>
  <c r="F30" i="46"/>
  <c r="V30" i="46" s="1"/>
  <c r="A30" i="46"/>
  <c r="N27" i="46"/>
  <c r="N31" i="46" s="1"/>
  <c r="F6" i="46"/>
  <c r="P74" i="45"/>
  <c r="J67" i="45"/>
  <c r="S69" i="45" s="1"/>
  <c r="D67" i="45"/>
  <c r="R69" i="45" s="1"/>
  <c r="S27" i="45"/>
  <c r="BJ4" i="48"/>
  <c r="BL3" i="48"/>
  <c r="U137" i="46"/>
  <c r="U107" i="46"/>
  <c r="P74" i="46"/>
  <c r="V125" i="46"/>
  <c r="V77" i="46"/>
  <c r="V70" i="46"/>
  <c r="V79" i="46"/>
  <c r="AA118" i="46"/>
  <c r="AA125" i="46"/>
  <c r="U45" i="46"/>
  <c r="AA76" i="46"/>
  <c r="U94" i="46"/>
  <c r="AA49" i="46"/>
  <c r="U54" i="46"/>
  <c r="A246" i="23"/>
  <c r="B57" i="34"/>
  <c r="H353" i="23"/>
  <c r="H311" i="23"/>
  <c r="H305" i="23"/>
  <c r="AC356" i="23"/>
  <c r="AC355" i="23"/>
  <c r="W356" i="23"/>
  <c r="W355" i="23"/>
  <c r="Q356" i="23"/>
  <c r="Q355" i="23"/>
  <c r="K356" i="23"/>
  <c r="K355" i="23"/>
  <c r="AJ354" i="23"/>
  <c r="AB366" i="23"/>
  <c r="AJ366" i="23" s="1"/>
  <c r="V47" i="23"/>
  <c r="V46" i="23"/>
  <c r="Y17" i="27"/>
  <c r="Y18" i="27"/>
  <c r="Y19" i="27"/>
  <c r="Y20" i="27"/>
  <c r="Y21" i="27"/>
  <c r="Y22" i="27"/>
  <c r="Y23" i="27"/>
  <c r="Y24" i="27"/>
  <c r="Y25" i="27"/>
  <c r="Y26" i="27"/>
  <c r="Y27" i="27"/>
  <c r="Y16" i="27"/>
  <c r="AI324" i="23"/>
  <c r="AB320" i="23"/>
  <c r="AI320" i="23" s="1"/>
  <c r="AF14" i="27"/>
  <c r="AF13" i="27"/>
  <c r="V40" i="23"/>
  <c r="D4" i="35"/>
  <c r="F4" i="35" s="1"/>
  <c r="H4" i="35" s="1"/>
  <c r="J4" i="35" s="1"/>
  <c r="L4" i="35" s="1"/>
  <c r="C4" i="35"/>
  <c r="E4" i="35" s="1"/>
  <c r="G4" i="35" s="1"/>
  <c r="I4" i="35" s="1"/>
  <c r="K4" i="35" s="1"/>
  <c r="C3" i="35"/>
  <c r="E3" i="35" s="1"/>
  <c r="G3" i="35" s="1"/>
  <c r="I3" i="35" s="1"/>
  <c r="K3" i="35" s="1"/>
  <c r="AA14" i="27"/>
  <c r="AA13" i="27"/>
  <c r="V31" i="23"/>
  <c r="AJ349" i="23"/>
  <c r="AI349" i="23"/>
  <c r="AD345" i="23"/>
  <c r="AI345" i="23" s="1"/>
  <c r="AI316" i="23"/>
  <c r="AJ318" i="23"/>
  <c r="AJ316" i="23"/>
  <c r="W13" i="27"/>
  <c r="W14" i="27"/>
  <c r="B27" i="19"/>
  <c r="AI438" i="23"/>
  <c r="S14" i="27"/>
  <c r="S13" i="27"/>
  <c r="O14" i="27"/>
  <c r="O13" i="27"/>
  <c r="AI19" i="23"/>
  <c r="V5" i="33"/>
  <c r="V6" i="33"/>
  <c r="V7" i="33"/>
  <c r="V8" i="33"/>
  <c r="V9" i="33"/>
  <c r="V10" i="33"/>
  <c r="V11" i="33"/>
  <c r="V12" i="33"/>
  <c r="V13" i="33"/>
  <c r="V14" i="33"/>
  <c r="V15" i="33"/>
  <c r="V16" i="33"/>
  <c r="V17" i="33"/>
  <c r="V18" i="33"/>
  <c r="V19" i="33"/>
  <c r="V20" i="33"/>
  <c r="V21" i="33"/>
  <c r="V22" i="33"/>
  <c r="V23" i="33"/>
  <c r="V24" i="33"/>
  <c r="V25" i="33"/>
  <c r="V26" i="33"/>
  <c r="V27" i="33"/>
  <c r="V28" i="33"/>
  <c r="V29" i="33"/>
  <c r="V30" i="33"/>
  <c r="V31" i="33"/>
  <c r="V32" i="33"/>
  <c r="V34" i="33"/>
  <c r="V35" i="33"/>
  <c r="V36" i="33"/>
  <c r="V37" i="33"/>
  <c r="V38" i="33"/>
  <c r="V39" i="33"/>
  <c r="V40" i="33"/>
  <c r="V41" i="33"/>
  <c r="V42" i="33"/>
  <c r="V43" i="33"/>
  <c r="V44" i="33"/>
  <c r="V45" i="33"/>
  <c r="V46" i="33"/>
  <c r="V47" i="33"/>
  <c r="V48" i="33"/>
  <c r="V49" i="33"/>
  <c r="V50" i="33"/>
  <c r="V51" i="33"/>
  <c r="V52" i="33"/>
  <c r="V53" i="33"/>
  <c r="V54" i="33"/>
  <c r="V55" i="33"/>
  <c r="V56" i="33"/>
  <c r="V57" i="33"/>
  <c r="V58" i="33"/>
  <c r="V59" i="33"/>
  <c r="V60" i="33"/>
  <c r="V61" i="33"/>
  <c r="V62" i="33"/>
  <c r="V63" i="33"/>
  <c r="V64" i="33"/>
  <c r="V65" i="33"/>
  <c r="V66" i="33"/>
  <c r="V67" i="33"/>
  <c r="V68" i="33"/>
  <c r="V69" i="33"/>
  <c r="V70" i="33"/>
  <c r="V71" i="33"/>
  <c r="V72" i="33"/>
  <c r="V73" i="33"/>
  <c r="V74" i="33"/>
  <c r="V75" i="33"/>
  <c r="V76" i="33"/>
  <c r="V77" i="33"/>
  <c r="V78" i="33"/>
  <c r="V79" i="33"/>
  <c r="V80" i="33"/>
  <c r="V81" i="33"/>
  <c r="V82" i="33"/>
  <c r="V83" i="33"/>
  <c r="V84" i="33"/>
  <c r="V85" i="33"/>
  <c r="V86" i="33"/>
  <c r="V87" i="33"/>
  <c r="V88" i="33"/>
  <c r="V89" i="33"/>
  <c r="V90" i="33"/>
  <c r="V91" i="33"/>
  <c r="V92" i="33"/>
  <c r="V93" i="33"/>
  <c r="V94" i="33"/>
  <c r="V95" i="33"/>
  <c r="V96" i="33"/>
  <c r="V97" i="33"/>
  <c r="V98" i="33"/>
  <c r="V99" i="33"/>
  <c r="V100" i="33"/>
  <c r="V101" i="33"/>
  <c r="V102" i="33"/>
  <c r="V103" i="33"/>
  <c r="V104" i="33"/>
  <c r="V105" i="33"/>
  <c r="V106" i="33"/>
  <c r="V107" i="33"/>
  <c r="V108" i="33"/>
  <c r="V109" i="33"/>
  <c r="V111" i="33"/>
  <c r="V112" i="33"/>
  <c r="V113" i="33"/>
  <c r="V114" i="33"/>
  <c r="V115" i="33"/>
  <c r="V116" i="33"/>
  <c r="V117" i="33"/>
  <c r="V118" i="33"/>
  <c r="V119" i="33"/>
  <c r="V120" i="33"/>
  <c r="V121" i="33"/>
  <c r="V122" i="33"/>
  <c r="V123" i="33"/>
  <c r="V124" i="33"/>
  <c r="V125" i="33"/>
  <c r="V126" i="33"/>
  <c r="V127" i="33"/>
  <c r="V128" i="33"/>
  <c r="V129" i="33"/>
  <c r="V130" i="33"/>
  <c r="V131" i="33"/>
  <c r="V132" i="33"/>
  <c r="V133" i="33"/>
  <c r="V135" i="33"/>
  <c r="V136" i="33"/>
  <c r="V137" i="33"/>
  <c r="V138" i="33"/>
  <c r="V139" i="33"/>
  <c r="V140" i="33"/>
  <c r="V141" i="33"/>
  <c r="V142" i="33"/>
  <c r="V143" i="33"/>
  <c r="V144" i="33"/>
  <c r="V145" i="33"/>
  <c r="V146" i="33"/>
  <c r="V147" i="33"/>
  <c r="V148" i="33"/>
  <c r="V149" i="33"/>
  <c r="V150" i="33"/>
  <c r="V151" i="33"/>
  <c r="V152" i="33"/>
  <c r="V153" i="33"/>
  <c r="V154" i="33"/>
  <c r="V155" i="33"/>
  <c r="V156" i="33"/>
  <c r="V157" i="33"/>
  <c r="V158" i="33"/>
  <c r="V159" i="33"/>
  <c r="V160" i="33"/>
  <c r="V161" i="33"/>
  <c r="V162" i="33"/>
  <c r="V163" i="33"/>
  <c r="V164" i="33"/>
  <c r="V165" i="33"/>
  <c r="V166" i="33"/>
  <c r="V167" i="33"/>
  <c r="V168" i="33"/>
  <c r="V169" i="33"/>
  <c r="V170" i="33"/>
  <c r="V171" i="33"/>
  <c r="V172" i="33"/>
  <c r="V173" i="33"/>
  <c r="V174" i="33"/>
  <c r="V175" i="33"/>
  <c r="V176" i="33"/>
  <c r="V177" i="33"/>
  <c r="V178" i="33"/>
  <c r="V179" i="33"/>
  <c r="V180" i="33"/>
  <c r="V181" i="33"/>
  <c r="V182" i="33"/>
  <c r="V183" i="33"/>
  <c r="V184" i="33"/>
  <c r="V185" i="33"/>
  <c r="V186" i="33"/>
  <c r="V187" i="33"/>
  <c r="V188" i="33"/>
  <c r="V189" i="33"/>
  <c r="V190" i="33"/>
  <c r="V191" i="33"/>
  <c r="V192" i="33"/>
  <c r="V193" i="33"/>
  <c r="V194" i="33"/>
  <c r="V195" i="33"/>
  <c r="V196" i="33"/>
  <c r="V197" i="33"/>
  <c r="V198" i="33"/>
  <c r="V199" i="33"/>
  <c r="V200" i="33"/>
  <c r="V201" i="33"/>
  <c r="V202" i="33"/>
  <c r="V203" i="33"/>
  <c r="V204" i="33"/>
  <c r="V205" i="33"/>
  <c r="V206" i="33"/>
  <c r="V207" i="33"/>
  <c r="V208" i="33"/>
  <c r="V209" i="33"/>
  <c r="V210" i="33"/>
  <c r="V211" i="33"/>
  <c r="V212" i="33"/>
  <c r="V213" i="33"/>
  <c r="V214" i="33"/>
  <c r="V215" i="33"/>
  <c r="V216" i="33"/>
  <c r="V217" i="33"/>
  <c r="V218" i="33"/>
  <c r="V219" i="33"/>
  <c r="V220" i="33"/>
  <c r="V221" i="33"/>
  <c r="V222" i="33"/>
  <c r="V223" i="33"/>
  <c r="V224" i="33"/>
  <c r="V225" i="33"/>
  <c r="V226" i="33"/>
  <c r="V227" i="33"/>
  <c r="V228" i="33"/>
  <c r="V229" i="33"/>
  <c r="V230" i="33"/>
  <c r="V231" i="33"/>
  <c r="V232" i="33"/>
  <c r="V233" i="33"/>
  <c r="V235" i="33"/>
  <c r="V236" i="33"/>
  <c r="V237" i="33"/>
  <c r="V238" i="33"/>
  <c r="V239" i="33"/>
  <c r="V240" i="33"/>
  <c r="V241" i="33"/>
  <c r="V242" i="33"/>
  <c r="V243" i="33"/>
  <c r="V244" i="33"/>
  <c r="V245" i="33"/>
  <c r="V246" i="33"/>
  <c r="V247" i="33"/>
  <c r="V248" i="33"/>
  <c r="V249" i="33"/>
  <c r="V250" i="33"/>
  <c r="V251" i="33"/>
  <c r="V252" i="33"/>
  <c r="V253" i="33"/>
  <c r="V254" i="33"/>
  <c r="V255" i="33"/>
  <c r="V256" i="33"/>
  <c r="V257" i="33"/>
  <c r="V258" i="33"/>
  <c r="V259" i="33"/>
  <c r="V260" i="33"/>
  <c r="V261" i="33"/>
  <c r="V262" i="33"/>
  <c r="V263" i="33"/>
  <c r="V264" i="33"/>
  <c r="V265" i="33"/>
  <c r="V266" i="33"/>
  <c r="V267" i="33"/>
  <c r="V268" i="33"/>
  <c r="V269" i="33"/>
  <c r="V270" i="33"/>
  <c r="V271" i="33"/>
  <c r="V272" i="33"/>
  <c r="V273" i="33"/>
  <c r="V274" i="33"/>
  <c r="V275" i="33"/>
  <c r="V276" i="33"/>
  <c r="V277" i="33"/>
  <c r="V278" i="33"/>
  <c r="V279" i="33"/>
  <c r="V280" i="33"/>
  <c r="V281" i="33"/>
  <c r="V282" i="33"/>
  <c r="V283" i="33"/>
  <c r="V284" i="33"/>
  <c r="V285" i="33"/>
  <c r="V286" i="33"/>
  <c r="V287" i="33"/>
  <c r="V288" i="33"/>
  <c r="V289" i="33"/>
  <c r="V290" i="33"/>
  <c r="V291" i="33"/>
  <c r="V292" i="33"/>
  <c r="V293" i="33"/>
  <c r="V294" i="33"/>
  <c r="V295" i="33"/>
  <c r="V296" i="33"/>
  <c r="V297" i="33"/>
  <c r="V298" i="33"/>
  <c r="V299" i="33"/>
  <c r="V300" i="33"/>
  <c r="V301" i="33"/>
  <c r="V302" i="33"/>
  <c r="V303" i="33"/>
  <c r="V304" i="33"/>
  <c r="V305" i="33"/>
  <c r="V306" i="33"/>
  <c r="V307" i="33"/>
  <c r="V308" i="33"/>
  <c r="V309" i="33"/>
  <c r="V310" i="33"/>
  <c r="V311" i="33"/>
  <c r="V312" i="33"/>
  <c r="V313" i="33"/>
  <c r="V314" i="33"/>
  <c r="V315" i="33"/>
  <c r="V316" i="33"/>
  <c r="V317" i="33"/>
  <c r="V318" i="33"/>
  <c r="V319" i="33"/>
  <c r="V320" i="33"/>
  <c r="V321" i="33"/>
  <c r="V322" i="33"/>
  <c r="V323" i="33"/>
  <c r="V324" i="33"/>
  <c r="V325" i="33"/>
  <c r="V326" i="33"/>
  <c r="V327" i="33"/>
  <c r="V328" i="33"/>
  <c r="V329" i="33"/>
  <c r="V330" i="33"/>
  <c r="V341" i="33"/>
  <c r="V342" i="33"/>
  <c r="V343" i="33"/>
  <c r="V344" i="33"/>
  <c r="V345" i="33"/>
  <c r="V346" i="33"/>
  <c r="V347" i="33"/>
  <c r="V348" i="33"/>
  <c r="V349" i="33"/>
  <c r="V350" i="33"/>
  <c r="V351" i="33"/>
  <c r="V352" i="33"/>
  <c r="V353" i="33"/>
  <c r="V354" i="33"/>
  <c r="V355" i="33"/>
  <c r="V356" i="33"/>
  <c r="V357" i="33"/>
  <c r="V358" i="33"/>
  <c r="V359" i="33"/>
  <c r="V360" i="33"/>
  <c r="V361" i="33"/>
  <c r="V362" i="33"/>
  <c r="V363" i="33"/>
  <c r="V364" i="33"/>
  <c r="V365" i="33"/>
  <c r="V366" i="33"/>
  <c r="V367" i="33"/>
  <c r="V368" i="33"/>
  <c r="V369" i="33"/>
  <c r="V370" i="33"/>
  <c r="V371" i="33"/>
  <c r="V372" i="33"/>
  <c r="V373" i="33"/>
  <c r="V374" i="33"/>
  <c r="V375" i="33"/>
  <c r="V376" i="33"/>
  <c r="V377" i="33"/>
  <c r="V378" i="33"/>
  <c r="V379" i="33"/>
  <c r="V380" i="33"/>
  <c r="V381" i="33"/>
  <c r="V382" i="33"/>
  <c r="V383" i="33"/>
  <c r="V384" i="33"/>
  <c r="V385" i="33"/>
  <c r="V386" i="33"/>
  <c r="V387" i="33"/>
  <c r="V388" i="33"/>
  <c r="V389" i="33"/>
  <c r="V390" i="33"/>
  <c r="V391" i="33"/>
  <c r="V392" i="33"/>
  <c r="V393" i="33"/>
  <c r="V394" i="33"/>
  <c r="V395" i="33"/>
  <c r="V396" i="33"/>
  <c r="V397" i="33"/>
  <c r="V398" i="33"/>
  <c r="V399" i="33"/>
  <c r="V400" i="33"/>
  <c r="V401" i="33"/>
  <c r="V402" i="33"/>
  <c r="V403" i="33"/>
  <c r="V404" i="33"/>
  <c r="V405" i="33"/>
  <c r="V406" i="33"/>
  <c r="V407" i="33"/>
  <c r="V408" i="33"/>
  <c r="V409" i="33"/>
  <c r="V410" i="33"/>
  <c r="V411" i="33"/>
  <c r="V412" i="33"/>
  <c r="V413" i="33"/>
  <c r="V414" i="33"/>
  <c r="V415" i="33"/>
  <c r="V416" i="33"/>
  <c r="V417" i="33"/>
  <c r="V418" i="33"/>
  <c r="V419" i="33"/>
  <c r="V420" i="33"/>
  <c r="V421" i="33"/>
  <c r="V422" i="33"/>
  <c r="V423" i="33"/>
  <c r="V424" i="33"/>
  <c r="V425" i="33"/>
  <c r="V426" i="33"/>
  <c r="V427" i="33"/>
  <c r="V428" i="33"/>
  <c r="V429" i="33"/>
  <c r="V430" i="33"/>
  <c r="V431" i="33"/>
  <c r="V432" i="33"/>
  <c r="V433" i="33"/>
  <c r="V435" i="33"/>
  <c r="V436" i="33"/>
  <c r="V437" i="33"/>
  <c r="V438" i="33"/>
  <c r="V439" i="33"/>
  <c r="V440" i="33"/>
  <c r="V441" i="33"/>
  <c r="V442" i="33"/>
  <c r="V443" i="33"/>
  <c r="V444" i="33"/>
  <c r="V445" i="33"/>
  <c r="V446" i="33"/>
  <c r="V447" i="33"/>
  <c r="V448" i="33"/>
  <c r="V449" i="33"/>
  <c r="V450" i="33"/>
  <c r="V451" i="33"/>
  <c r="V452" i="33"/>
  <c r="V453" i="33"/>
  <c r="V454" i="33"/>
  <c r="V455" i="33"/>
  <c r="V456" i="33"/>
  <c r="V457" i="33"/>
  <c r="V458" i="33"/>
  <c r="V459" i="33"/>
  <c r="V460" i="33"/>
  <c r="V461" i="33"/>
  <c r="V462" i="33"/>
  <c r="V463" i="33"/>
  <c r="V464" i="33"/>
  <c r="V465" i="33"/>
  <c r="V466" i="33"/>
  <c r="V467" i="33"/>
  <c r="V468" i="33"/>
  <c r="V469" i="33"/>
  <c r="V470" i="33"/>
  <c r="V471" i="33"/>
  <c r="V472" i="33"/>
  <c r="V473" i="33"/>
  <c r="V474" i="33"/>
  <c r="V475" i="33"/>
  <c r="V476" i="33"/>
  <c r="V477" i="33"/>
  <c r="V478" i="33"/>
  <c r="V479" i="33"/>
  <c r="V480" i="33"/>
  <c r="V481" i="33"/>
  <c r="V482" i="33"/>
  <c r="V483" i="33"/>
  <c r="V484" i="33"/>
  <c r="V485" i="33"/>
  <c r="V486" i="33"/>
  <c r="V487" i="33"/>
  <c r="V488" i="33"/>
  <c r="V489" i="33"/>
  <c r="V490" i="33"/>
  <c r="V491" i="33"/>
  <c r="V492" i="33"/>
  <c r="V493" i="33"/>
  <c r="V494" i="33"/>
  <c r="V495" i="33"/>
  <c r="V496" i="33"/>
  <c r="V497" i="33"/>
  <c r="V498" i="33"/>
  <c r="V499" i="33"/>
  <c r="V500" i="33"/>
  <c r="V501" i="33"/>
  <c r="V502" i="33"/>
  <c r="V503" i="33"/>
  <c r="V504" i="33"/>
  <c r="V505" i="33"/>
  <c r="V506" i="33"/>
  <c r="V507" i="33"/>
  <c r="V508" i="33"/>
  <c r="V509" i="33"/>
  <c r="V510" i="33"/>
  <c r="V511" i="33"/>
  <c r="V512" i="33"/>
  <c r="V513" i="33"/>
  <c r="V514" i="33"/>
  <c r="V515" i="33"/>
  <c r="V516" i="33"/>
  <c r="V517" i="33"/>
  <c r="V518" i="33"/>
  <c r="V519" i="33"/>
  <c r="V520" i="33"/>
  <c r="V521" i="33"/>
  <c r="V522" i="33"/>
  <c r="V523" i="33"/>
  <c r="V524" i="33"/>
  <c r="V525" i="33"/>
  <c r="V526" i="33"/>
  <c r="V527" i="33"/>
  <c r="V528" i="33"/>
  <c r="V529" i="33"/>
  <c r="V530" i="33"/>
  <c r="V531" i="33"/>
  <c r="V532" i="33"/>
  <c r="V533" i="33"/>
  <c r="V535" i="33"/>
  <c r="V536" i="33"/>
  <c r="V537" i="33"/>
  <c r="V538" i="33"/>
  <c r="V539" i="33"/>
  <c r="V540" i="33"/>
  <c r="V541" i="33"/>
  <c r="V542" i="33"/>
  <c r="V543" i="33"/>
  <c r="V544" i="33"/>
  <c r="V545" i="33"/>
  <c r="V546" i="33"/>
  <c r="V547" i="33"/>
  <c r="V548" i="33"/>
  <c r="V549" i="33"/>
  <c r="V550" i="33"/>
  <c r="V551" i="33"/>
  <c r="V552" i="33"/>
  <c r="V553" i="33"/>
  <c r="V554" i="33"/>
  <c r="V555" i="33"/>
  <c r="V556" i="33"/>
  <c r="V557" i="33"/>
  <c r="V558" i="33"/>
  <c r="V559" i="33"/>
  <c r="V560" i="33"/>
  <c r="V561" i="33"/>
  <c r="V562" i="33"/>
  <c r="V563" i="33"/>
  <c r="V564" i="33"/>
  <c r="V565" i="33"/>
  <c r="V566" i="33"/>
  <c r="V567" i="33"/>
  <c r="V568" i="33"/>
  <c r="V569" i="33"/>
  <c r="V570" i="33"/>
  <c r="V571" i="33"/>
  <c r="V572" i="33"/>
  <c r="V573" i="33"/>
  <c r="V574" i="33"/>
  <c r="V575" i="33"/>
  <c r="V576" i="33"/>
  <c r="V577" i="33"/>
  <c r="V578" i="33"/>
  <c r="V579" i="33"/>
  <c r="V580" i="33"/>
  <c r="V581" i="33"/>
  <c r="V582" i="33"/>
  <c r="V583" i="33"/>
  <c r="V584" i="33"/>
  <c r="V585" i="33"/>
  <c r="V586" i="33"/>
  <c r="V587" i="33"/>
  <c r="V588" i="33"/>
  <c r="V589" i="33"/>
  <c r="V590" i="33"/>
  <c r="V591" i="33"/>
  <c r="V592" i="33"/>
  <c r="V593" i="33"/>
  <c r="V594" i="33"/>
  <c r="V595" i="33"/>
  <c r="V596" i="33"/>
  <c r="V597" i="33"/>
  <c r="V598" i="33"/>
  <c r="V599" i="33"/>
  <c r="V600" i="33"/>
  <c r="V601" i="33"/>
  <c r="V4" i="33"/>
  <c r="T4" i="33" s="1"/>
  <c r="U4" i="33" s="1"/>
  <c r="B18" i="32"/>
  <c r="AJ3" i="23" s="1"/>
  <c r="N602" i="33"/>
  <c r="M602" i="33"/>
  <c r="L602" i="33"/>
  <c r="K602" i="33"/>
  <c r="I602" i="33"/>
  <c r="H602" i="33"/>
  <c r="G602" i="33"/>
  <c r="F602" i="33"/>
  <c r="W601" i="33"/>
  <c r="S601" i="33"/>
  <c r="W600" i="33"/>
  <c r="S600" i="33"/>
  <c r="W599" i="33"/>
  <c r="S599" i="33"/>
  <c r="W598" i="33"/>
  <c r="S598" i="33"/>
  <c r="W597" i="33"/>
  <c r="S597" i="33"/>
  <c r="W596" i="33"/>
  <c r="S596" i="33"/>
  <c r="W595" i="33"/>
  <c r="S595" i="33"/>
  <c r="W594" i="33"/>
  <c r="S594" i="33"/>
  <c r="W593" i="33"/>
  <c r="S593" i="33"/>
  <c r="W592" i="33"/>
  <c r="S592" i="33"/>
  <c r="W591" i="33"/>
  <c r="S591" i="33"/>
  <c r="W590" i="33"/>
  <c r="S590" i="33"/>
  <c r="W589" i="33"/>
  <c r="S589" i="33"/>
  <c r="W588" i="33"/>
  <c r="S588" i="33"/>
  <c r="W587" i="33"/>
  <c r="S587" i="33"/>
  <c r="W586" i="33"/>
  <c r="S586" i="33"/>
  <c r="W585" i="33"/>
  <c r="S585" i="33"/>
  <c r="W584" i="33"/>
  <c r="S584" i="33"/>
  <c r="W583" i="33"/>
  <c r="S583" i="33"/>
  <c r="W582" i="33"/>
  <c r="S582" i="33"/>
  <c r="W581" i="33"/>
  <c r="S581" i="33"/>
  <c r="W580" i="33"/>
  <c r="S580" i="33"/>
  <c r="W579" i="33"/>
  <c r="S579" i="33"/>
  <c r="W578" i="33"/>
  <c r="S578" i="33"/>
  <c r="W577" i="33"/>
  <c r="S577" i="33"/>
  <c r="W576" i="33"/>
  <c r="S576" i="33"/>
  <c r="W575" i="33"/>
  <c r="S575" i="33"/>
  <c r="W574" i="33"/>
  <c r="S574" i="33"/>
  <c r="W573" i="33"/>
  <c r="S573" i="33"/>
  <c r="W572" i="33"/>
  <c r="S572" i="33"/>
  <c r="W571" i="33"/>
  <c r="S571" i="33"/>
  <c r="W570" i="33"/>
  <c r="S570" i="33"/>
  <c r="W569" i="33"/>
  <c r="S569" i="33"/>
  <c r="W568" i="33"/>
  <c r="S568" i="33"/>
  <c r="W567" i="33"/>
  <c r="S567" i="33"/>
  <c r="W566" i="33"/>
  <c r="S566" i="33"/>
  <c r="W565" i="33"/>
  <c r="S565" i="33"/>
  <c r="W564" i="33"/>
  <c r="S564" i="33"/>
  <c r="W563" i="33"/>
  <c r="S563" i="33"/>
  <c r="W562" i="33"/>
  <c r="S562" i="33"/>
  <c r="W561" i="33"/>
  <c r="S561" i="33"/>
  <c r="W560" i="33"/>
  <c r="S560" i="33"/>
  <c r="W559" i="33"/>
  <c r="S559" i="33"/>
  <c r="W558" i="33"/>
  <c r="S558" i="33"/>
  <c r="W557" i="33"/>
  <c r="S557" i="33"/>
  <c r="W556" i="33"/>
  <c r="S556" i="33"/>
  <c r="W555" i="33"/>
  <c r="S555" i="33"/>
  <c r="W554" i="33"/>
  <c r="S554" i="33"/>
  <c r="W553" i="33"/>
  <c r="S553" i="33"/>
  <c r="W552" i="33"/>
  <c r="S552" i="33"/>
  <c r="W551" i="33"/>
  <c r="S551" i="33"/>
  <c r="W550" i="33"/>
  <c r="S550" i="33"/>
  <c r="W549" i="33"/>
  <c r="S549" i="33"/>
  <c r="W548" i="33"/>
  <c r="S548" i="33"/>
  <c r="W547" i="33"/>
  <c r="S547" i="33"/>
  <c r="W546" i="33"/>
  <c r="S546" i="33"/>
  <c r="W545" i="33"/>
  <c r="S545" i="33"/>
  <c r="W544" i="33"/>
  <c r="S544" i="33"/>
  <c r="W543" i="33"/>
  <c r="S543" i="33"/>
  <c r="W542" i="33"/>
  <c r="S542" i="33"/>
  <c r="W541" i="33"/>
  <c r="S541" i="33"/>
  <c r="W540" i="33"/>
  <c r="S540" i="33"/>
  <c r="W539" i="33"/>
  <c r="S539" i="33"/>
  <c r="W538" i="33"/>
  <c r="S538" i="33"/>
  <c r="W537" i="33"/>
  <c r="S537" i="33"/>
  <c r="W536" i="33"/>
  <c r="S536" i="33"/>
  <c r="W535" i="33"/>
  <c r="S535" i="33"/>
  <c r="W533" i="33"/>
  <c r="S533" i="33"/>
  <c r="W532" i="33"/>
  <c r="S532" i="33"/>
  <c r="W531" i="33"/>
  <c r="S531" i="33"/>
  <c r="W530" i="33"/>
  <c r="S530" i="33"/>
  <c r="W529" i="33"/>
  <c r="S529" i="33"/>
  <c r="W528" i="33"/>
  <c r="S528" i="33"/>
  <c r="W527" i="33"/>
  <c r="S527" i="33"/>
  <c r="W526" i="33"/>
  <c r="S526" i="33"/>
  <c r="W525" i="33"/>
  <c r="S525" i="33"/>
  <c r="W524" i="33"/>
  <c r="S524" i="33"/>
  <c r="W523" i="33"/>
  <c r="S523" i="33"/>
  <c r="W522" i="33"/>
  <c r="S522" i="33"/>
  <c r="W521" i="33"/>
  <c r="S521" i="33"/>
  <c r="W520" i="33"/>
  <c r="S520" i="33"/>
  <c r="W519" i="33"/>
  <c r="S519" i="33"/>
  <c r="W518" i="33"/>
  <c r="S518" i="33"/>
  <c r="W517" i="33"/>
  <c r="S517" i="33"/>
  <c r="W516" i="33"/>
  <c r="S516" i="33"/>
  <c r="W515" i="33"/>
  <c r="S515" i="33"/>
  <c r="W514" i="33"/>
  <c r="S514" i="33"/>
  <c r="W513" i="33"/>
  <c r="S513" i="33"/>
  <c r="W512" i="33"/>
  <c r="S512" i="33"/>
  <c r="W511" i="33"/>
  <c r="S511" i="33"/>
  <c r="W510" i="33"/>
  <c r="S510" i="33"/>
  <c r="W509" i="33"/>
  <c r="S509" i="33"/>
  <c r="W508" i="33"/>
  <c r="S508" i="33"/>
  <c r="W507" i="33"/>
  <c r="S507" i="33"/>
  <c r="W506" i="33"/>
  <c r="S506" i="33"/>
  <c r="W505" i="33"/>
  <c r="S505" i="33"/>
  <c r="W504" i="33"/>
  <c r="S504" i="33"/>
  <c r="W503" i="33"/>
  <c r="S503" i="33"/>
  <c r="W502" i="33"/>
  <c r="S502" i="33"/>
  <c r="W501" i="33"/>
  <c r="S501" i="33"/>
  <c r="W500" i="33"/>
  <c r="S500" i="33"/>
  <c r="W499" i="33"/>
  <c r="S499" i="33"/>
  <c r="W498" i="33"/>
  <c r="S498" i="33"/>
  <c r="W497" i="33"/>
  <c r="S497" i="33"/>
  <c r="W496" i="33"/>
  <c r="S496" i="33"/>
  <c r="W495" i="33"/>
  <c r="S495" i="33"/>
  <c r="W494" i="33"/>
  <c r="S494" i="33"/>
  <c r="W493" i="33"/>
  <c r="S493" i="33"/>
  <c r="W492" i="33"/>
  <c r="S492" i="33"/>
  <c r="W491" i="33"/>
  <c r="S491" i="33"/>
  <c r="W490" i="33"/>
  <c r="S490" i="33"/>
  <c r="W489" i="33"/>
  <c r="S489" i="33"/>
  <c r="W488" i="33"/>
  <c r="S488" i="33"/>
  <c r="W487" i="33"/>
  <c r="S487" i="33"/>
  <c r="W486" i="33"/>
  <c r="S486" i="33"/>
  <c r="W485" i="33"/>
  <c r="S485" i="33"/>
  <c r="W484" i="33"/>
  <c r="S484" i="33"/>
  <c r="W483" i="33"/>
  <c r="S483" i="33"/>
  <c r="W482" i="33"/>
  <c r="S482" i="33"/>
  <c r="W481" i="33"/>
  <c r="S481" i="33"/>
  <c r="W480" i="33"/>
  <c r="S480" i="33"/>
  <c r="W479" i="33"/>
  <c r="S479" i="33"/>
  <c r="W478" i="33"/>
  <c r="S478" i="33"/>
  <c r="W477" i="33"/>
  <c r="S477" i="33"/>
  <c r="W476" i="33"/>
  <c r="S476" i="33"/>
  <c r="W475" i="33"/>
  <c r="S475" i="33"/>
  <c r="W474" i="33"/>
  <c r="S474" i="33"/>
  <c r="W473" i="33"/>
  <c r="S473" i="33"/>
  <c r="W472" i="33"/>
  <c r="S472" i="33"/>
  <c r="W471" i="33"/>
  <c r="S471" i="33"/>
  <c r="W470" i="33"/>
  <c r="S470" i="33"/>
  <c r="W469" i="33"/>
  <c r="S469" i="33"/>
  <c r="W468" i="33"/>
  <c r="S468" i="33"/>
  <c r="W467" i="33"/>
  <c r="S467" i="33"/>
  <c r="W466" i="33"/>
  <c r="S466" i="33"/>
  <c r="W465" i="33"/>
  <c r="S465" i="33"/>
  <c r="W464" i="33"/>
  <c r="S464" i="33"/>
  <c r="W463" i="33"/>
  <c r="S463" i="33"/>
  <c r="W462" i="33"/>
  <c r="S462" i="33"/>
  <c r="W461" i="33"/>
  <c r="S461" i="33"/>
  <c r="W460" i="33"/>
  <c r="S460" i="33"/>
  <c r="W459" i="33"/>
  <c r="S459" i="33"/>
  <c r="W458" i="33"/>
  <c r="S458" i="33"/>
  <c r="W457" i="33"/>
  <c r="S457" i="33"/>
  <c r="W456" i="33"/>
  <c r="S456" i="33"/>
  <c r="W455" i="33"/>
  <c r="S455" i="33"/>
  <c r="W454" i="33"/>
  <c r="S454" i="33"/>
  <c r="W453" i="33"/>
  <c r="S453" i="33"/>
  <c r="W452" i="33"/>
  <c r="S452" i="33"/>
  <c r="W451" i="33"/>
  <c r="S451" i="33"/>
  <c r="W450" i="33"/>
  <c r="S450" i="33"/>
  <c r="W449" i="33"/>
  <c r="S449" i="33"/>
  <c r="W448" i="33"/>
  <c r="S448" i="33"/>
  <c r="W447" i="33"/>
  <c r="S447" i="33"/>
  <c r="W446" i="33"/>
  <c r="S446" i="33"/>
  <c r="W445" i="33"/>
  <c r="S445" i="33"/>
  <c r="W444" i="33"/>
  <c r="S444" i="33"/>
  <c r="W443" i="33"/>
  <c r="S443" i="33"/>
  <c r="W442" i="33"/>
  <c r="S442" i="33"/>
  <c r="W441" i="33"/>
  <c r="S441" i="33"/>
  <c r="W440" i="33"/>
  <c r="S440" i="33"/>
  <c r="W439" i="33"/>
  <c r="S439" i="33"/>
  <c r="W438" i="33"/>
  <c r="S438" i="33"/>
  <c r="W437" i="33"/>
  <c r="S437" i="33"/>
  <c r="W436" i="33"/>
  <c r="S436" i="33"/>
  <c r="W435" i="33"/>
  <c r="S435" i="33"/>
  <c r="W433" i="33"/>
  <c r="S433" i="33"/>
  <c r="W432" i="33"/>
  <c r="S432" i="33"/>
  <c r="W431" i="33"/>
  <c r="S431" i="33"/>
  <c r="W430" i="33"/>
  <c r="S430" i="33"/>
  <c r="W429" i="33"/>
  <c r="S429" i="33"/>
  <c r="W428" i="33"/>
  <c r="S428" i="33"/>
  <c r="W427" i="33"/>
  <c r="S427" i="33"/>
  <c r="W426" i="33"/>
  <c r="S426" i="33"/>
  <c r="W425" i="33"/>
  <c r="S425" i="33"/>
  <c r="W424" i="33"/>
  <c r="S424" i="33"/>
  <c r="W423" i="33"/>
  <c r="S423" i="33"/>
  <c r="W422" i="33"/>
  <c r="S422" i="33"/>
  <c r="W421" i="33"/>
  <c r="S421" i="33"/>
  <c r="W420" i="33"/>
  <c r="S420" i="33"/>
  <c r="W419" i="33"/>
  <c r="S419" i="33"/>
  <c r="W418" i="33"/>
  <c r="S418" i="33"/>
  <c r="W417" i="33"/>
  <c r="S417" i="33"/>
  <c r="W416" i="33"/>
  <c r="S416" i="33"/>
  <c r="W415" i="33"/>
  <c r="S415" i="33"/>
  <c r="W414" i="33"/>
  <c r="S414" i="33"/>
  <c r="W413" i="33"/>
  <c r="S413" i="33"/>
  <c r="W412" i="33"/>
  <c r="S412" i="33"/>
  <c r="W411" i="33"/>
  <c r="S411" i="33"/>
  <c r="W410" i="33"/>
  <c r="S410" i="33"/>
  <c r="W409" i="33"/>
  <c r="S409" i="33"/>
  <c r="W408" i="33"/>
  <c r="S408" i="33"/>
  <c r="W407" i="33"/>
  <c r="S407" i="33"/>
  <c r="W406" i="33"/>
  <c r="S406" i="33"/>
  <c r="W405" i="33"/>
  <c r="S405" i="33"/>
  <c r="W404" i="33"/>
  <c r="S404" i="33"/>
  <c r="W403" i="33"/>
  <c r="S403" i="33"/>
  <c r="W402" i="33"/>
  <c r="S402" i="33"/>
  <c r="W401" i="33"/>
  <c r="S401" i="33"/>
  <c r="W400" i="33"/>
  <c r="S400" i="33"/>
  <c r="W399" i="33"/>
  <c r="S399" i="33"/>
  <c r="W398" i="33"/>
  <c r="S398" i="33"/>
  <c r="W397" i="33"/>
  <c r="S397" i="33"/>
  <c r="W396" i="33"/>
  <c r="S396" i="33"/>
  <c r="W395" i="33"/>
  <c r="S395" i="33"/>
  <c r="W394" i="33"/>
  <c r="S394" i="33"/>
  <c r="W393" i="33"/>
  <c r="S393" i="33"/>
  <c r="W392" i="33"/>
  <c r="S392" i="33"/>
  <c r="W391" i="33"/>
  <c r="S391" i="33"/>
  <c r="W390" i="33"/>
  <c r="S390" i="33"/>
  <c r="W389" i="33"/>
  <c r="S389" i="33"/>
  <c r="W388" i="33"/>
  <c r="S388" i="33"/>
  <c r="W387" i="33"/>
  <c r="S387" i="33"/>
  <c r="W386" i="33"/>
  <c r="S386" i="33"/>
  <c r="W385" i="33"/>
  <c r="S385" i="33"/>
  <c r="W384" i="33"/>
  <c r="S384" i="33"/>
  <c r="W383" i="33"/>
  <c r="S383" i="33"/>
  <c r="W382" i="33"/>
  <c r="S382" i="33"/>
  <c r="W381" i="33"/>
  <c r="S381" i="33"/>
  <c r="W380" i="33"/>
  <c r="S380" i="33"/>
  <c r="W379" i="33"/>
  <c r="S379" i="33"/>
  <c r="W378" i="33"/>
  <c r="S378" i="33"/>
  <c r="W377" i="33"/>
  <c r="S377" i="33"/>
  <c r="W376" i="33"/>
  <c r="S376" i="33"/>
  <c r="W375" i="33"/>
  <c r="S375" i="33"/>
  <c r="W374" i="33"/>
  <c r="S374" i="33"/>
  <c r="W373" i="33"/>
  <c r="S373" i="33"/>
  <c r="W372" i="33"/>
  <c r="S372" i="33"/>
  <c r="W371" i="33"/>
  <c r="S371" i="33"/>
  <c r="W370" i="33"/>
  <c r="S370" i="33"/>
  <c r="W369" i="33"/>
  <c r="S369" i="33"/>
  <c r="W368" i="33"/>
  <c r="S368" i="33"/>
  <c r="W367" i="33"/>
  <c r="S367" i="33"/>
  <c r="W366" i="33"/>
  <c r="S366" i="33"/>
  <c r="W365" i="33"/>
  <c r="S365" i="33"/>
  <c r="W364" i="33"/>
  <c r="S364" i="33"/>
  <c r="W363" i="33"/>
  <c r="S363" i="33"/>
  <c r="W362" i="33"/>
  <c r="S362" i="33"/>
  <c r="W361" i="33"/>
  <c r="S361" i="33"/>
  <c r="W360" i="33"/>
  <c r="S360" i="33"/>
  <c r="W359" i="33"/>
  <c r="S359" i="33"/>
  <c r="W358" i="33"/>
  <c r="S358" i="33"/>
  <c r="W357" i="33"/>
  <c r="S357" i="33"/>
  <c r="W356" i="33"/>
  <c r="S356" i="33"/>
  <c r="W355" i="33"/>
  <c r="S355" i="33"/>
  <c r="W354" i="33"/>
  <c r="S354" i="33"/>
  <c r="W353" i="33"/>
  <c r="S353" i="33"/>
  <c r="W352" i="33"/>
  <c r="S352" i="33"/>
  <c r="W351" i="33"/>
  <c r="S351" i="33"/>
  <c r="W350" i="33"/>
  <c r="S350" i="33"/>
  <c r="W349" i="33"/>
  <c r="S349" i="33"/>
  <c r="W348" i="33"/>
  <c r="S348" i="33"/>
  <c r="W347" i="33"/>
  <c r="S347" i="33"/>
  <c r="W346" i="33"/>
  <c r="S346" i="33"/>
  <c r="W345" i="33"/>
  <c r="S345" i="33"/>
  <c r="W344" i="33"/>
  <c r="S344" i="33"/>
  <c r="W343" i="33"/>
  <c r="S343" i="33"/>
  <c r="W342" i="33"/>
  <c r="S342" i="33"/>
  <c r="W341" i="33"/>
  <c r="S341" i="33"/>
  <c r="W330" i="33"/>
  <c r="S330" i="33"/>
  <c r="W329" i="33"/>
  <c r="S329" i="33"/>
  <c r="W328" i="33"/>
  <c r="S328" i="33"/>
  <c r="W327" i="33"/>
  <c r="S327" i="33"/>
  <c r="W326" i="33"/>
  <c r="S326" i="33"/>
  <c r="W325" i="33"/>
  <c r="S325" i="33"/>
  <c r="W324" i="33"/>
  <c r="S324" i="33"/>
  <c r="W323" i="33"/>
  <c r="S323" i="33"/>
  <c r="W322" i="33"/>
  <c r="S322" i="33"/>
  <c r="W321" i="33"/>
  <c r="S321" i="33"/>
  <c r="W320" i="33"/>
  <c r="S320" i="33"/>
  <c r="W319" i="33"/>
  <c r="S319" i="33"/>
  <c r="W318" i="33"/>
  <c r="S318" i="33"/>
  <c r="W317" i="33"/>
  <c r="S317" i="33"/>
  <c r="W316" i="33"/>
  <c r="S316" i="33"/>
  <c r="W315" i="33"/>
  <c r="S315" i="33"/>
  <c r="W314" i="33"/>
  <c r="S314" i="33"/>
  <c r="W313" i="33"/>
  <c r="S313" i="33"/>
  <c r="W312" i="33"/>
  <c r="S312" i="33"/>
  <c r="W311" i="33"/>
  <c r="S311" i="33"/>
  <c r="W310" i="33"/>
  <c r="S310" i="33"/>
  <c r="W309" i="33"/>
  <c r="S309" i="33"/>
  <c r="W308" i="33"/>
  <c r="S308" i="33"/>
  <c r="W307" i="33"/>
  <c r="S307" i="33"/>
  <c r="W306" i="33"/>
  <c r="S306" i="33"/>
  <c r="W305" i="33"/>
  <c r="S305" i="33"/>
  <c r="W304" i="33"/>
  <c r="S304" i="33"/>
  <c r="W303" i="33"/>
  <c r="S303" i="33"/>
  <c r="W302" i="33"/>
  <c r="S302" i="33"/>
  <c r="W301" i="33"/>
  <c r="S301" i="33"/>
  <c r="W300" i="33"/>
  <c r="S300" i="33"/>
  <c r="W299" i="33"/>
  <c r="S299" i="33"/>
  <c r="W298" i="33"/>
  <c r="S298" i="33"/>
  <c r="W297" i="33"/>
  <c r="S297" i="33"/>
  <c r="W296" i="33"/>
  <c r="S296" i="33"/>
  <c r="W295" i="33"/>
  <c r="S295" i="33"/>
  <c r="W294" i="33"/>
  <c r="S294" i="33"/>
  <c r="W293" i="33"/>
  <c r="S293" i="33"/>
  <c r="W292" i="33"/>
  <c r="S292" i="33"/>
  <c r="W291" i="33"/>
  <c r="S291" i="33"/>
  <c r="W290" i="33"/>
  <c r="S290" i="33"/>
  <c r="W289" i="33"/>
  <c r="S289" i="33"/>
  <c r="W288" i="33"/>
  <c r="S288" i="33"/>
  <c r="W287" i="33"/>
  <c r="S287" i="33"/>
  <c r="W286" i="33"/>
  <c r="S286" i="33"/>
  <c r="W285" i="33"/>
  <c r="S285" i="33"/>
  <c r="W284" i="33"/>
  <c r="S284" i="33"/>
  <c r="W283" i="33"/>
  <c r="S283" i="33"/>
  <c r="W282" i="33"/>
  <c r="S282" i="33"/>
  <c r="W281" i="33"/>
  <c r="S281" i="33"/>
  <c r="W280" i="33"/>
  <c r="S280" i="33"/>
  <c r="W279" i="33"/>
  <c r="S279" i="33"/>
  <c r="W278" i="33"/>
  <c r="S278" i="33"/>
  <c r="W277" i="33"/>
  <c r="S277" i="33"/>
  <c r="W276" i="33"/>
  <c r="S276" i="33"/>
  <c r="W275" i="33"/>
  <c r="S275" i="33"/>
  <c r="W274" i="33"/>
  <c r="S274" i="33"/>
  <c r="W273" i="33"/>
  <c r="S273" i="33"/>
  <c r="W272" i="33"/>
  <c r="S272" i="33"/>
  <c r="W271" i="33"/>
  <c r="S271" i="33"/>
  <c r="W270" i="33"/>
  <c r="S270" i="33"/>
  <c r="W269" i="33"/>
  <c r="S269" i="33"/>
  <c r="W268" i="33"/>
  <c r="S268" i="33"/>
  <c r="W267" i="33"/>
  <c r="S267" i="33"/>
  <c r="W266" i="33"/>
  <c r="S266" i="33"/>
  <c r="W265" i="33"/>
  <c r="S265" i="33"/>
  <c r="W264" i="33"/>
  <c r="S264" i="33"/>
  <c r="W263" i="33"/>
  <c r="S263" i="33"/>
  <c r="W262" i="33"/>
  <c r="S262" i="33"/>
  <c r="W261" i="33"/>
  <c r="S261" i="33"/>
  <c r="W260" i="33"/>
  <c r="S260" i="33"/>
  <c r="W259" i="33"/>
  <c r="S259" i="33"/>
  <c r="W258" i="33"/>
  <c r="S258" i="33"/>
  <c r="W257" i="33"/>
  <c r="S257" i="33"/>
  <c r="W256" i="33"/>
  <c r="S256" i="33"/>
  <c r="W255" i="33"/>
  <c r="S255" i="33"/>
  <c r="W254" i="33"/>
  <c r="S254" i="33"/>
  <c r="W253" i="33"/>
  <c r="S253" i="33"/>
  <c r="W252" i="33"/>
  <c r="S252" i="33"/>
  <c r="W251" i="33"/>
  <c r="S251" i="33"/>
  <c r="W250" i="33"/>
  <c r="S250" i="33"/>
  <c r="W249" i="33"/>
  <c r="S249" i="33"/>
  <c r="W248" i="33"/>
  <c r="S248" i="33"/>
  <c r="W247" i="33"/>
  <c r="S247" i="33"/>
  <c r="W246" i="33"/>
  <c r="S246" i="33"/>
  <c r="W245" i="33"/>
  <c r="S245" i="33"/>
  <c r="W244" i="33"/>
  <c r="S244" i="33"/>
  <c r="W243" i="33"/>
  <c r="S243" i="33"/>
  <c r="W242" i="33"/>
  <c r="S242" i="33"/>
  <c r="W241" i="33"/>
  <c r="S241" i="33"/>
  <c r="W240" i="33"/>
  <c r="S240" i="33"/>
  <c r="W239" i="33"/>
  <c r="S239" i="33"/>
  <c r="W238" i="33"/>
  <c r="S238" i="33"/>
  <c r="W237" i="33"/>
  <c r="S237" i="33"/>
  <c r="W236" i="33"/>
  <c r="S236" i="33"/>
  <c r="W235" i="33"/>
  <c r="S235" i="33"/>
  <c r="W233" i="33"/>
  <c r="S233" i="33"/>
  <c r="W232" i="33"/>
  <c r="S232" i="33"/>
  <c r="W231" i="33"/>
  <c r="S231" i="33"/>
  <c r="W230" i="33"/>
  <c r="S230" i="33"/>
  <c r="W229" i="33"/>
  <c r="S229" i="33"/>
  <c r="W228" i="33"/>
  <c r="S228" i="33"/>
  <c r="W227" i="33"/>
  <c r="S227" i="33"/>
  <c r="W226" i="33"/>
  <c r="S226" i="33"/>
  <c r="W225" i="33"/>
  <c r="S225" i="33"/>
  <c r="W224" i="33"/>
  <c r="S224" i="33"/>
  <c r="W223" i="33"/>
  <c r="S223" i="33"/>
  <c r="W222" i="33"/>
  <c r="S222" i="33"/>
  <c r="W221" i="33"/>
  <c r="S221" i="33"/>
  <c r="W220" i="33"/>
  <c r="S220" i="33"/>
  <c r="W219" i="33"/>
  <c r="S219" i="33"/>
  <c r="W218" i="33"/>
  <c r="S218" i="33"/>
  <c r="W217" i="33"/>
  <c r="S217" i="33"/>
  <c r="W216" i="33"/>
  <c r="S216" i="33"/>
  <c r="W215" i="33"/>
  <c r="S215" i="33"/>
  <c r="W214" i="33"/>
  <c r="S214" i="33"/>
  <c r="W213" i="33"/>
  <c r="S213" i="33"/>
  <c r="W212" i="33"/>
  <c r="S212" i="33"/>
  <c r="W211" i="33"/>
  <c r="S211" i="33"/>
  <c r="W210" i="33"/>
  <c r="S210" i="33"/>
  <c r="W209" i="33"/>
  <c r="S209" i="33"/>
  <c r="W208" i="33"/>
  <c r="S208" i="33"/>
  <c r="W207" i="33"/>
  <c r="S207" i="33"/>
  <c r="W206" i="33"/>
  <c r="S206" i="33"/>
  <c r="W205" i="33"/>
  <c r="S205" i="33"/>
  <c r="W204" i="33"/>
  <c r="S204" i="33"/>
  <c r="W203" i="33"/>
  <c r="S203" i="33"/>
  <c r="W202" i="33"/>
  <c r="S202" i="33"/>
  <c r="W201" i="33"/>
  <c r="S201" i="33"/>
  <c r="W200" i="33"/>
  <c r="S200" i="33"/>
  <c r="W199" i="33"/>
  <c r="S199" i="33"/>
  <c r="W198" i="33"/>
  <c r="S198" i="33"/>
  <c r="W197" i="33"/>
  <c r="S197" i="33"/>
  <c r="W196" i="33"/>
  <c r="S196" i="33"/>
  <c r="W195" i="33"/>
  <c r="S195" i="33"/>
  <c r="W194" i="33"/>
  <c r="S194" i="33"/>
  <c r="W193" i="33"/>
  <c r="S193" i="33"/>
  <c r="W192" i="33"/>
  <c r="S192" i="33"/>
  <c r="W191" i="33"/>
  <c r="S191" i="33"/>
  <c r="W190" i="33"/>
  <c r="S190" i="33"/>
  <c r="W189" i="33"/>
  <c r="S189" i="33"/>
  <c r="W188" i="33"/>
  <c r="S188" i="33"/>
  <c r="W187" i="33"/>
  <c r="S187" i="33"/>
  <c r="W186" i="33"/>
  <c r="S186" i="33"/>
  <c r="W185" i="33"/>
  <c r="S185" i="33"/>
  <c r="W184" i="33"/>
  <c r="S184" i="33"/>
  <c r="W183" i="33"/>
  <c r="S183" i="33"/>
  <c r="W182" i="33"/>
  <c r="S182" i="33"/>
  <c r="W181" i="33"/>
  <c r="S181" i="33"/>
  <c r="W180" i="33"/>
  <c r="S180" i="33"/>
  <c r="W179" i="33"/>
  <c r="S179" i="33"/>
  <c r="W178" i="33"/>
  <c r="S178" i="33"/>
  <c r="W177" i="33"/>
  <c r="S177" i="33"/>
  <c r="W176" i="33"/>
  <c r="S176" i="33"/>
  <c r="W175" i="33"/>
  <c r="S175" i="33"/>
  <c r="W174" i="33"/>
  <c r="S174" i="33"/>
  <c r="W173" i="33"/>
  <c r="S173" i="33"/>
  <c r="W172" i="33"/>
  <c r="S172" i="33"/>
  <c r="W171" i="33"/>
  <c r="S171" i="33"/>
  <c r="W170" i="33"/>
  <c r="S170" i="33"/>
  <c r="W169" i="33"/>
  <c r="S169" i="33"/>
  <c r="W168" i="33"/>
  <c r="S168" i="33"/>
  <c r="W167" i="33"/>
  <c r="S167" i="33"/>
  <c r="W166" i="33"/>
  <c r="S166" i="33"/>
  <c r="W165" i="33"/>
  <c r="S165" i="33"/>
  <c r="W164" i="33"/>
  <c r="S164" i="33"/>
  <c r="W163" i="33"/>
  <c r="S163" i="33"/>
  <c r="W162" i="33"/>
  <c r="S162" i="33"/>
  <c r="W161" i="33"/>
  <c r="S161" i="33"/>
  <c r="W160" i="33"/>
  <c r="S160" i="33"/>
  <c r="W159" i="33"/>
  <c r="S159" i="33"/>
  <c r="W158" i="33"/>
  <c r="S158" i="33"/>
  <c r="W157" i="33"/>
  <c r="S157" i="33"/>
  <c r="W156" i="33"/>
  <c r="S156" i="33"/>
  <c r="W155" i="33"/>
  <c r="S155" i="33"/>
  <c r="W154" i="33"/>
  <c r="S154" i="33"/>
  <c r="W153" i="33"/>
  <c r="S153" i="33"/>
  <c r="W152" i="33"/>
  <c r="S152" i="33"/>
  <c r="W151" i="33"/>
  <c r="S151" i="33"/>
  <c r="W150" i="33"/>
  <c r="S150" i="33"/>
  <c r="W149" i="33"/>
  <c r="S149" i="33"/>
  <c r="W148" i="33"/>
  <c r="S148" i="33"/>
  <c r="W147" i="33"/>
  <c r="S147" i="33"/>
  <c r="W146" i="33"/>
  <c r="S146" i="33"/>
  <c r="W145" i="33"/>
  <c r="S145" i="33"/>
  <c r="W144" i="33"/>
  <c r="S144" i="33"/>
  <c r="W143" i="33"/>
  <c r="S143" i="33"/>
  <c r="W142" i="33"/>
  <c r="S142" i="33"/>
  <c r="W141" i="33"/>
  <c r="S141" i="33"/>
  <c r="W140" i="33"/>
  <c r="S140" i="33"/>
  <c r="W139" i="33"/>
  <c r="S139" i="33"/>
  <c r="W138" i="33"/>
  <c r="S138" i="33"/>
  <c r="W137" i="33"/>
  <c r="S137" i="33"/>
  <c r="W136" i="33"/>
  <c r="S136" i="33"/>
  <c r="W135" i="33"/>
  <c r="S135" i="33"/>
  <c r="W133" i="33"/>
  <c r="S133" i="33"/>
  <c r="W132" i="33"/>
  <c r="S132" i="33"/>
  <c r="W131" i="33"/>
  <c r="S131" i="33"/>
  <c r="W130" i="33"/>
  <c r="S130" i="33"/>
  <c r="W129" i="33"/>
  <c r="S129" i="33"/>
  <c r="W128" i="33"/>
  <c r="S128" i="33"/>
  <c r="W127" i="33"/>
  <c r="S127" i="33"/>
  <c r="W126" i="33"/>
  <c r="S126" i="33"/>
  <c r="W125" i="33"/>
  <c r="S125" i="33"/>
  <c r="W124" i="33"/>
  <c r="S124" i="33"/>
  <c r="W123" i="33"/>
  <c r="S123" i="33"/>
  <c r="W122" i="33"/>
  <c r="S122" i="33"/>
  <c r="W121" i="33"/>
  <c r="S121" i="33"/>
  <c r="W120" i="33"/>
  <c r="S120" i="33"/>
  <c r="W119" i="33"/>
  <c r="S119" i="33"/>
  <c r="W118" i="33"/>
  <c r="S118" i="33"/>
  <c r="W117" i="33"/>
  <c r="S117" i="33"/>
  <c r="W116" i="33"/>
  <c r="S116" i="33"/>
  <c r="W115" i="33"/>
  <c r="S115" i="33"/>
  <c r="W114" i="33"/>
  <c r="S114" i="33"/>
  <c r="W113" i="33"/>
  <c r="S113" i="33"/>
  <c r="W112" i="33"/>
  <c r="S112" i="33"/>
  <c r="W111" i="33"/>
  <c r="S111" i="33"/>
  <c r="W109" i="33"/>
  <c r="S109" i="33"/>
  <c r="W108" i="33"/>
  <c r="S108" i="33"/>
  <c r="W107" i="33"/>
  <c r="S107" i="33"/>
  <c r="W106" i="33"/>
  <c r="S106" i="33"/>
  <c r="W105" i="33"/>
  <c r="S105" i="33"/>
  <c r="W104" i="33"/>
  <c r="S104" i="33"/>
  <c r="W103" i="33"/>
  <c r="S103" i="33"/>
  <c r="W102" i="33"/>
  <c r="S102" i="33"/>
  <c r="W101" i="33"/>
  <c r="S101" i="33"/>
  <c r="W100" i="33"/>
  <c r="S100" i="33"/>
  <c r="W99" i="33"/>
  <c r="S99" i="33"/>
  <c r="W98" i="33"/>
  <c r="S98" i="33"/>
  <c r="W97" i="33"/>
  <c r="S97" i="33"/>
  <c r="W96" i="33"/>
  <c r="S96" i="33"/>
  <c r="W95" i="33"/>
  <c r="S95" i="33"/>
  <c r="W94" i="33"/>
  <c r="S94" i="33"/>
  <c r="W93" i="33"/>
  <c r="S93" i="33"/>
  <c r="W92" i="33"/>
  <c r="S92" i="33"/>
  <c r="W91" i="33"/>
  <c r="S91" i="33"/>
  <c r="W90" i="33"/>
  <c r="S90" i="33"/>
  <c r="W89" i="33"/>
  <c r="S89" i="33"/>
  <c r="W88" i="33"/>
  <c r="S88" i="33"/>
  <c r="W87" i="33"/>
  <c r="S87" i="33"/>
  <c r="W86" i="33"/>
  <c r="S86" i="33"/>
  <c r="W85" i="33"/>
  <c r="S85" i="33"/>
  <c r="W84" i="33"/>
  <c r="S84" i="33"/>
  <c r="W83" i="33"/>
  <c r="S83" i="33"/>
  <c r="W82" i="33"/>
  <c r="S82" i="33"/>
  <c r="W81" i="33"/>
  <c r="S81" i="33"/>
  <c r="W80" i="33"/>
  <c r="S80" i="33"/>
  <c r="W79" i="33"/>
  <c r="S79" i="33"/>
  <c r="W78" i="33"/>
  <c r="S78" i="33"/>
  <c r="W77" i="33"/>
  <c r="S77" i="33"/>
  <c r="W76" i="33"/>
  <c r="S76" i="33"/>
  <c r="W75" i="33"/>
  <c r="S75" i="33"/>
  <c r="W74" i="33"/>
  <c r="S74" i="33"/>
  <c r="W73" i="33"/>
  <c r="S73" i="33"/>
  <c r="W72" i="33"/>
  <c r="S72" i="33"/>
  <c r="W71" i="33"/>
  <c r="S71" i="33"/>
  <c r="W70" i="33"/>
  <c r="S70" i="33"/>
  <c r="W69" i="33"/>
  <c r="S69" i="33"/>
  <c r="W68" i="33"/>
  <c r="S68" i="33"/>
  <c r="W67" i="33"/>
  <c r="S67" i="33"/>
  <c r="W66" i="33"/>
  <c r="S66" i="33"/>
  <c r="W65" i="33"/>
  <c r="S65" i="33"/>
  <c r="W64" i="33"/>
  <c r="S64" i="33"/>
  <c r="W63" i="33"/>
  <c r="S63" i="33"/>
  <c r="W62" i="33"/>
  <c r="S62" i="33"/>
  <c r="W61" i="33"/>
  <c r="S61" i="33"/>
  <c r="W60" i="33"/>
  <c r="S60" i="33"/>
  <c r="W59" i="33"/>
  <c r="S59" i="33"/>
  <c r="W58" i="33"/>
  <c r="S58" i="33"/>
  <c r="W57" i="33"/>
  <c r="S57" i="33"/>
  <c r="W56" i="33"/>
  <c r="S56" i="33"/>
  <c r="W55" i="33"/>
  <c r="S55" i="33"/>
  <c r="W54" i="33"/>
  <c r="S54" i="33"/>
  <c r="W53" i="33"/>
  <c r="S53" i="33"/>
  <c r="W52" i="33"/>
  <c r="S52" i="33"/>
  <c r="W51" i="33"/>
  <c r="S51" i="33"/>
  <c r="W50" i="33"/>
  <c r="S50" i="33"/>
  <c r="W49" i="33"/>
  <c r="S49" i="33"/>
  <c r="W48" i="33"/>
  <c r="S48" i="33"/>
  <c r="W47" i="33"/>
  <c r="S47" i="33"/>
  <c r="W46" i="33"/>
  <c r="S46" i="33"/>
  <c r="W45" i="33"/>
  <c r="S45" i="33"/>
  <c r="W44" i="33"/>
  <c r="S44" i="33"/>
  <c r="W43" i="33"/>
  <c r="S43" i="33"/>
  <c r="W42" i="33"/>
  <c r="S42" i="33"/>
  <c r="W41" i="33"/>
  <c r="S41" i="33"/>
  <c r="W40" i="33"/>
  <c r="S40" i="33"/>
  <c r="W39" i="33"/>
  <c r="S39" i="33"/>
  <c r="W38" i="33"/>
  <c r="S38" i="33"/>
  <c r="W37" i="33"/>
  <c r="S37" i="33"/>
  <c r="W36" i="33"/>
  <c r="S36" i="33"/>
  <c r="W35" i="33"/>
  <c r="S35" i="33"/>
  <c r="W34" i="33"/>
  <c r="S34" i="33"/>
  <c r="W32" i="33"/>
  <c r="S32" i="33"/>
  <c r="W31" i="33"/>
  <c r="S31" i="33"/>
  <c r="W30" i="33"/>
  <c r="S30" i="33"/>
  <c r="W29" i="33"/>
  <c r="S29" i="33"/>
  <c r="W28" i="33"/>
  <c r="S28" i="33"/>
  <c r="W27" i="33"/>
  <c r="S27" i="33"/>
  <c r="W26" i="33"/>
  <c r="S26" i="33"/>
  <c r="W25" i="33"/>
  <c r="S25" i="33"/>
  <c r="W24" i="33"/>
  <c r="S24" i="33"/>
  <c r="W23" i="33"/>
  <c r="S23" i="33"/>
  <c r="W22" i="33"/>
  <c r="S22" i="33"/>
  <c r="W21" i="33"/>
  <c r="S21" i="33"/>
  <c r="W20" i="33"/>
  <c r="S20" i="33"/>
  <c r="W19" i="33"/>
  <c r="S19" i="33"/>
  <c r="W18" i="33"/>
  <c r="S18" i="33"/>
  <c r="W17" i="33"/>
  <c r="S17" i="33"/>
  <c r="W16" i="33"/>
  <c r="S16" i="33"/>
  <c r="W15" i="33"/>
  <c r="S15" i="33"/>
  <c r="W14" i="33"/>
  <c r="S14" i="33"/>
  <c r="W13" i="33"/>
  <c r="S13" i="33"/>
  <c r="W12" i="33"/>
  <c r="S12" i="33"/>
  <c r="W11" i="33"/>
  <c r="S11" i="33"/>
  <c r="W10" i="33"/>
  <c r="S10" i="33"/>
  <c r="W9" i="33"/>
  <c r="S9" i="33"/>
  <c r="W8" i="33"/>
  <c r="S8" i="33"/>
  <c r="W7" i="33"/>
  <c r="W5" i="33"/>
  <c r="W6" i="33"/>
  <c r="S7" i="33"/>
  <c r="S6" i="33"/>
  <c r="S5" i="33"/>
  <c r="W4" i="33"/>
  <c r="S4" i="33"/>
  <c r="A3" i="23"/>
  <c r="B6" i="27" s="1"/>
  <c r="Z14" i="27"/>
  <c r="Z13" i="27"/>
  <c r="AJ14" i="27"/>
  <c r="AJ13" i="27"/>
  <c r="V14" i="27"/>
  <c r="V13" i="27"/>
  <c r="U14" i="27"/>
  <c r="U13" i="27"/>
  <c r="T14" i="27"/>
  <c r="T13" i="27"/>
  <c r="Q13" i="27"/>
  <c r="Q14" i="27"/>
  <c r="P14" i="27"/>
  <c r="P13" i="27"/>
  <c r="E14" i="27"/>
  <c r="E13" i="27"/>
  <c r="AM14" i="27"/>
  <c r="AL14" i="27"/>
  <c r="AK14" i="27"/>
  <c r="AI14" i="27"/>
  <c r="AH14" i="27"/>
  <c r="AM13" i="27"/>
  <c r="AL13" i="27"/>
  <c r="AK13" i="27"/>
  <c r="AI13" i="27"/>
  <c r="AH13" i="27"/>
  <c r="AG13" i="27"/>
  <c r="AE13" i="27"/>
  <c r="AD13" i="27"/>
  <c r="AC13" i="27"/>
  <c r="AB13" i="27"/>
  <c r="AG14" i="27"/>
  <c r="AE14" i="27"/>
  <c r="AD14" i="27"/>
  <c r="AC14" i="27"/>
  <c r="AB14" i="27"/>
  <c r="X14" i="27"/>
  <c r="M14" i="27"/>
  <c r="L14" i="27"/>
  <c r="K14" i="27"/>
  <c r="J14" i="27"/>
  <c r="I14" i="27"/>
  <c r="D14" i="27"/>
  <c r="C14" i="27"/>
  <c r="X13" i="27"/>
  <c r="M13" i="27"/>
  <c r="L13" i="27"/>
  <c r="C13" i="27"/>
  <c r="K13" i="27"/>
  <c r="J13" i="27"/>
  <c r="I13" i="27"/>
  <c r="F13" i="27"/>
  <c r="D13" i="27"/>
  <c r="AK3" i="27"/>
  <c r="AG4" i="27"/>
  <c r="A8" i="23"/>
  <c r="F2" i="47"/>
  <c r="Z47" i="23"/>
  <c r="J102" i="48"/>
  <c r="J84" i="48"/>
  <c r="AZ3" i="48" l="1"/>
  <c r="U75" i="46"/>
  <c r="P130" i="46"/>
  <c r="U91" i="46"/>
  <c r="U59" i="46"/>
  <c r="V49" i="46"/>
  <c r="U46" i="46"/>
  <c r="AI24" i="23"/>
  <c r="AI25" i="23"/>
  <c r="AI412" i="23"/>
  <c r="G173" i="48"/>
  <c r="D171" i="48"/>
  <c r="C23" i="55"/>
  <c r="C12" i="55"/>
  <c r="N91" i="46"/>
  <c r="U81" i="46"/>
  <c r="U93" i="46"/>
  <c r="U101" i="46"/>
  <c r="N119" i="46"/>
  <c r="N63" i="46"/>
  <c r="U78" i="46"/>
  <c r="U87" i="46"/>
  <c r="V83" i="46"/>
  <c r="U67" i="46"/>
  <c r="V115" i="46"/>
  <c r="U49" i="46"/>
  <c r="V33" i="46"/>
  <c r="H74" i="46"/>
  <c r="S74" i="46" s="1"/>
  <c r="U55" i="46"/>
  <c r="U89" i="46"/>
  <c r="F466" i="23"/>
  <c r="N131" i="46"/>
  <c r="N107" i="46"/>
  <c r="N75" i="46"/>
  <c r="N47" i="46"/>
  <c r="P59" i="46"/>
  <c r="P136" i="46"/>
  <c r="P109" i="46"/>
  <c r="N127" i="46"/>
  <c r="N99" i="46"/>
  <c r="N71" i="46"/>
  <c r="P102" i="46"/>
  <c r="P66" i="46"/>
  <c r="P133" i="46"/>
  <c r="N123" i="46"/>
  <c r="N95" i="46"/>
  <c r="N67" i="46"/>
  <c r="P78" i="46"/>
  <c r="H78" i="46" s="1"/>
  <c r="S78" i="46" s="1"/>
  <c r="P122" i="46"/>
  <c r="P98" i="46"/>
  <c r="N86" i="46"/>
  <c r="N115" i="46"/>
  <c r="N87" i="46"/>
  <c r="N59" i="46"/>
  <c r="P68" i="46"/>
  <c r="P107" i="46"/>
  <c r="P61" i="46"/>
  <c r="N139" i="46"/>
  <c r="N111" i="46"/>
  <c r="N83" i="46"/>
  <c r="N51" i="46"/>
  <c r="P143" i="46"/>
  <c r="P85" i="46"/>
  <c r="H85" i="46" s="1"/>
  <c r="S85" i="46" s="1"/>
  <c r="U119" i="46"/>
  <c r="U116" i="46"/>
  <c r="N134" i="46"/>
  <c r="N141" i="46"/>
  <c r="W135" i="46"/>
  <c r="U115" i="46"/>
  <c r="N140" i="46"/>
  <c r="U58" i="46"/>
  <c r="N45" i="46"/>
  <c r="N120" i="46"/>
  <c r="W88" i="46"/>
  <c r="N136" i="46"/>
  <c r="N98" i="46"/>
  <c r="N128" i="46"/>
  <c r="W103" i="46"/>
  <c r="N94" i="46"/>
  <c r="N82" i="46"/>
  <c r="N110" i="46"/>
  <c r="W78" i="46"/>
  <c r="W96" i="46"/>
  <c r="W89" i="46"/>
  <c r="W102" i="46"/>
  <c r="W139" i="46"/>
  <c r="N65" i="46"/>
  <c r="N56" i="46"/>
  <c r="N103" i="46"/>
  <c r="N79" i="46"/>
  <c r="N55" i="46"/>
  <c r="W138" i="46"/>
  <c r="W85" i="46"/>
  <c r="N105" i="46"/>
  <c r="N76" i="46"/>
  <c r="N96" i="46"/>
  <c r="W113" i="46"/>
  <c r="W81" i="46"/>
  <c r="W94" i="46"/>
  <c r="W130" i="46"/>
  <c r="W131" i="46"/>
  <c r="W108" i="46"/>
  <c r="X40" i="46"/>
  <c r="X123" i="46" s="1"/>
  <c r="W98" i="46"/>
  <c r="W134" i="46"/>
  <c r="U70" i="46"/>
  <c r="U77" i="46"/>
  <c r="U82" i="46"/>
  <c r="U110" i="46"/>
  <c r="U73" i="46"/>
  <c r="U131" i="46"/>
  <c r="U74" i="46"/>
  <c r="U140" i="46"/>
  <c r="W93" i="46"/>
  <c r="W91" i="46"/>
  <c r="W84" i="46"/>
  <c r="W112" i="46"/>
  <c r="W136" i="46"/>
  <c r="N97" i="46"/>
  <c r="N106" i="46"/>
  <c r="N72" i="46"/>
  <c r="N69" i="46"/>
  <c r="W140" i="46"/>
  <c r="W97" i="46"/>
  <c r="W82" i="46"/>
  <c r="W106" i="46"/>
  <c r="W142" i="46"/>
  <c r="U62" i="46"/>
  <c r="U86" i="46"/>
  <c r="U66" i="46"/>
  <c r="U71" i="46"/>
  <c r="U57" i="46"/>
  <c r="U102" i="46"/>
  <c r="U97" i="46"/>
  <c r="U130" i="46"/>
  <c r="U117" i="46"/>
  <c r="W79" i="46"/>
  <c r="W83" i="46"/>
  <c r="W101" i="46"/>
  <c r="W95" i="46"/>
  <c r="N114" i="46"/>
  <c r="N50" i="46"/>
  <c r="N49" i="46"/>
  <c r="N109" i="46"/>
  <c r="N60" i="46"/>
  <c r="W129" i="46"/>
  <c r="W92" i="46"/>
  <c r="W86" i="46"/>
  <c r="W110" i="46"/>
  <c r="U61" i="46"/>
  <c r="U83" i="46"/>
  <c r="U65" i="46"/>
  <c r="S30" i="46"/>
  <c r="U51" i="46"/>
  <c r="U109" i="46"/>
  <c r="U99" i="46"/>
  <c r="U113" i="46"/>
  <c r="U52" i="46"/>
  <c r="W107" i="46"/>
  <c r="W141" i="46"/>
  <c r="W80" i="46"/>
  <c r="W109" i="46"/>
  <c r="W100" i="46"/>
  <c r="W137" i="46"/>
  <c r="W124" i="46"/>
  <c r="W87" i="46"/>
  <c r="W90" i="46"/>
  <c r="W122" i="46"/>
  <c r="U50" i="46"/>
  <c r="U114" i="46"/>
  <c r="U105" i="46"/>
  <c r="U129" i="46"/>
  <c r="U76" i="46"/>
  <c r="W104" i="46"/>
  <c r="W123" i="46"/>
  <c r="W128" i="46"/>
  <c r="W105" i="46"/>
  <c r="W99" i="46"/>
  <c r="W111" i="46"/>
  <c r="W133" i="46"/>
  <c r="AA120" i="46"/>
  <c r="AA46" i="46"/>
  <c r="AA114" i="46"/>
  <c r="U141" i="46"/>
  <c r="U53" i="46"/>
  <c r="U95" i="46"/>
  <c r="U44" i="46"/>
  <c r="U108" i="46"/>
  <c r="N100" i="46"/>
  <c r="N133" i="46"/>
  <c r="N80" i="46"/>
  <c r="N117" i="46"/>
  <c r="N62" i="46"/>
  <c r="N93" i="46"/>
  <c r="N129" i="46"/>
  <c r="N90" i="46"/>
  <c r="N52" i="46"/>
  <c r="N89" i="46"/>
  <c r="N121" i="46"/>
  <c r="N32" i="46"/>
  <c r="AA81" i="46"/>
  <c r="AA89" i="46"/>
  <c r="AA121" i="46"/>
  <c r="AA70" i="46"/>
  <c r="AA73" i="46"/>
  <c r="U123" i="46"/>
  <c r="U69" i="46"/>
  <c r="U111" i="46"/>
  <c r="U68" i="46"/>
  <c r="U132" i="46"/>
  <c r="N77" i="46"/>
  <c r="N112" i="46"/>
  <c r="N138" i="46"/>
  <c r="N88" i="46"/>
  <c r="N132" i="46"/>
  <c r="N70" i="46"/>
  <c r="N104" i="46"/>
  <c r="N137" i="46"/>
  <c r="N122" i="46"/>
  <c r="N66" i="46"/>
  <c r="N101" i="46"/>
  <c r="N130" i="46"/>
  <c r="N92" i="46"/>
  <c r="AA87" i="46"/>
  <c r="AA72" i="46"/>
  <c r="AA127" i="46"/>
  <c r="AA75" i="46"/>
  <c r="AA74" i="46"/>
  <c r="N30" i="46"/>
  <c r="BH4" i="48"/>
  <c r="AA83" i="46"/>
  <c r="AA92" i="46"/>
  <c r="AA80" i="46"/>
  <c r="AA82" i="46"/>
  <c r="N34" i="46"/>
  <c r="U142" i="46"/>
  <c r="U134" i="46"/>
  <c r="U79" i="46"/>
  <c r="U122" i="46"/>
  <c r="U84" i="46"/>
  <c r="N124" i="46"/>
  <c r="N53" i="46"/>
  <c r="N102" i="46"/>
  <c r="N54" i="46"/>
  <c r="N78" i="46"/>
  <c r="N116" i="46"/>
  <c r="N68" i="46"/>
  <c r="N44" i="46"/>
  <c r="N74" i="46"/>
  <c r="N113" i="46"/>
  <c r="N142" i="46"/>
  <c r="N81" i="46"/>
  <c r="AA88" i="46"/>
  <c r="AA47" i="46"/>
  <c r="AA115" i="46"/>
  <c r="AA85" i="46"/>
  <c r="AA90" i="46"/>
  <c r="U47" i="46"/>
  <c r="U90" i="46"/>
  <c r="U138" i="46"/>
  <c r="U100" i="46"/>
  <c r="N64" i="46"/>
  <c r="N126" i="46"/>
  <c r="N61" i="46"/>
  <c r="N108" i="46"/>
  <c r="N58" i="46"/>
  <c r="N85" i="46"/>
  <c r="N125" i="46"/>
  <c r="N73" i="46"/>
  <c r="N48" i="46"/>
  <c r="N84" i="46"/>
  <c r="N118" i="46"/>
  <c r="N143" i="46"/>
  <c r="AI35" i="23"/>
  <c r="T132" i="33"/>
  <c r="U132" i="33" s="1"/>
  <c r="T120" i="33"/>
  <c r="Y3" i="33"/>
  <c r="P52" i="46"/>
  <c r="V46" i="46"/>
  <c r="V51" i="46"/>
  <c r="V114" i="46"/>
  <c r="V91" i="46"/>
  <c r="V93" i="46"/>
  <c r="P104" i="46"/>
  <c r="P46" i="46"/>
  <c r="H46" i="46" s="1"/>
  <c r="S46" i="46" s="1"/>
  <c r="P95" i="46"/>
  <c r="P126" i="46"/>
  <c r="H126" i="46" s="1"/>
  <c r="S126" i="46" s="1"/>
  <c r="P55" i="46"/>
  <c r="P119" i="46"/>
  <c r="H119" i="46" s="1"/>
  <c r="S119" i="46" s="1"/>
  <c r="P53" i="46"/>
  <c r="P77" i="46"/>
  <c r="H77" i="46" s="1"/>
  <c r="S77" i="46" s="1"/>
  <c r="P101" i="46"/>
  <c r="N21" i="48"/>
  <c r="X131" i="46"/>
  <c r="V84" i="46"/>
  <c r="P51" i="46"/>
  <c r="H51" i="46" s="1"/>
  <c r="S51" i="46" s="1"/>
  <c r="P91" i="46"/>
  <c r="H91" i="46" s="1"/>
  <c r="S91" i="46" s="1"/>
  <c r="P80" i="46"/>
  <c r="H80" i="46" s="1"/>
  <c r="S80" i="46" s="1"/>
  <c r="V82" i="46"/>
  <c r="P70" i="46"/>
  <c r="H70" i="46" s="1"/>
  <c r="S70" i="46" s="1"/>
  <c r="P48" i="46"/>
  <c r="AA132" i="46"/>
  <c r="AA119" i="46"/>
  <c r="AA91" i="46"/>
  <c r="AA78" i="46"/>
  <c r="AA126" i="46"/>
  <c r="V78" i="46"/>
  <c r="V119" i="46"/>
  <c r="V118" i="46"/>
  <c r="V73" i="46"/>
  <c r="V121" i="46"/>
  <c r="P99" i="46"/>
  <c r="AA71" i="46"/>
  <c r="AA51" i="46"/>
  <c r="P112" i="46"/>
  <c r="P139" i="46"/>
  <c r="P106" i="46"/>
  <c r="P138" i="46"/>
  <c r="P131" i="46"/>
  <c r="P60" i="46"/>
  <c r="P92" i="46"/>
  <c r="H92" i="46" s="1"/>
  <c r="S92" i="46" s="1"/>
  <c r="P124" i="46"/>
  <c r="P57" i="46"/>
  <c r="P81" i="46"/>
  <c r="H81" i="46" s="1"/>
  <c r="S81" i="46" s="1"/>
  <c r="P105" i="46"/>
  <c r="P129" i="46"/>
  <c r="N135" i="46"/>
  <c r="N46" i="46"/>
  <c r="D42" i="48"/>
  <c r="X132" i="46"/>
  <c r="P96" i="46"/>
  <c r="AA79" i="46"/>
  <c r="N33" i="46"/>
  <c r="AA84" i="46"/>
  <c r="V87" i="46"/>
  <c r="AA77" i="46"/>
  <c r="P67" i="46"/>
  <c r="AA93" i="46"/>
  <c r="AA69" i="46"/>
  <c r="V120" i="46"/>
  <c r="V90" i="46"/>
  <c r="V75" i="46"/>
  <c r="V81" i="46"/>
  <c r="P90" i="46"/>
  <c r="H90" i="46" s="1"/>
  <c r="S90" i="46" s="1"/>
  <c r="P58" i="46"/>
  <c r="P134" i="46"/>
  <c r="P75" i="46"/>
  <c r="H75" i="46" s="1"/>
  <c r="S75" i="46" s="1"/>
  <c r="P118" i="46"/>
  <c r="H118" i="46" s="1"/>
  <c r="S118" i="46" s="1"/>
  <c r="P110" i="46"/>
  <c r="P142" i="46"/>
  <c r="P71" i="46"/>
  <c r="H71" i="46" s="1"/>
  <c r="S71" i="46" s="1"/>
  <c r="P103" i="46"/>
  <c r="P140" i="46"/>
  <c r="P65" i="46"/>
  <c r="P89" i="46"/>
  <c r="H89" i="46" s="1"/>
  <c r="S89" i="46" s="1"/>
  <c r="P113" i="46"/>
  <c r="P137" i="46"/>
  <c r="AX4" i="48"/>
  <c r="V36" i="23"/>
  <c r="AI36" i="23" s="1"/>
  <c r="BB389" i="23"/>
  <c r="BB390" i="23" s="1"/>
  <c r="BH389" i="23"/>
  <c r="BH390" i="23" s="1"/>
  <c r="BF389" i="23"/>
  <c r="BF390" i="23" s="1"/>
  <c r="BD389" i="23"/>
  <c r="BD390" i="23" s="1"/>
  <c r="P79" i="46"/>
  <c r="H79" i="46" s="1"/>
  <c r="S79" i="46" s="1"/>
  <c r="P64" i="46"/>
  <c r="P100" i="46"/>
  <c r="P63" i="46"/>
  <c r="P56" i="46"/>
  <c r="P86" i="46"/>
  <c r="H86" i="46" s="1"/>
  <c r="S86" i="46" s="1"/>
  <c r="V127" i="46"/>
  <c r="V132" i="46"/>
  <c r="V80" i="46"/>
  <c r="V85" i="46"/>
  <c r="P111" i="46"/>
  <c r="P88" i="46"/>
  <c r="H88" i="46" s="1"/>
  <c r="S88" i="46" s="1"/>
  <c r="P128" i="46"/>
  <c r="P115" i="46"/>
  <c r="H115" i="46" s="1"/>
  <c r="S115" i="46" s="1"/>
  <c r="P44" i="46"/>
  <c r="P76" i="46"/>
  <c r="H76" i="46" s="1"/>
  <c r="S76" i="46" s="1"/>
  <c r="P108" i="46"/>
  <c r="P45" i="46"/>
  <c r="P69" i="46"/>
  <c r="H69" i="46" s="1"/>
  <c r="S69" i="46" s="1"/>
  <c r="P93" i="46"/>
  <c r="H93" i="46" s="1"/>
  <c r="S93" i="46" s="1"/>
  <c r="P117" i="46"/>
  <c r="P141" i="46"/>
  <c r="N20" i="48"/>
  <c r="X48" i="46"/>
  <c r="X141" i="46"/>
  <c r="V88" i="46"/>
  <c r="V76" i="46"/>
  <c r="P72" i="46"/>
  <c r="H72" i="46" s="1"/>
  <c r="S72" i="46" s="1"/>
  <c r="P62" i="46"/>
  <c r="V47" i="46"/>
  <c r="P84" i="46"/>
  <c r="H84" i="46" s="1"/>
  <c r="S84" i="46" s="1"/>
  <c r="V74" i="46"/>
  <c r="P54" i="46"/>
  <c r="V71" i="46"/>
  <c r="V126" i="46"/>
  <c r="V86" i="46"/>
  <c r="V89" i="46"/>
  <c r="P47" i="46"/>
  <c r="H47" i="46" s="1"/>
  <c r="S47" i="46" s="1"/>
  <c r="P116" i="46"/>
  <c r="P94" i="46"/>
  <c r="P127" i="46"/>
  <c r="H127" i="46" s="1"/>
  <c r="S127" i="46" s="1"/>
  <c r="P120" i="46"/>
  <c r="H120" i="46" s="1"/>
  <c r="S120" i="46" s="1"/>
  <c r="P50" i="46"/>
  <c r="P82" i="46"/>
  <c r="H82" i="46" s="1"/>
  <c r="S82" i="46" s="1"/>
  <c r="P114" i="46"/>
  <c r="H114" i="46" s="1"/>
  <c r="S114" i="46" s="1"/>
  <c r="P49" i="46"/>
  <c r="H49" i="46" s="1"/>
  <c r="S49" i="46" s="1"/>
  <c r="P73" i="46"/>
  <c r="H73" i="46" s="1"/>
  <c r="S73" i="46" s="1"/>
  <c r="P97" i="46"/>
  <c r="P121" i="46"/>
  <c r="H121" i="46" s="1"/>
  <c r="S121" i="46" s="1"/>
  <c r="F391" i="23"/>
  <c r="AL392" i="23" s="1"/>
  <c r="X391" i="23"/>
  <c r="BD392" i="23" s="1"/>
  <c r="BD393" i="23" s="1"/>
  <c r="AB391" i="23"/>
  <c r="BH392" i="23" s="1"/>
  <c r="BH393" i="23" s="1"/>
  <c r="Z391" i="23"/>
  <c r="BF392" i="23" s="1"/>
  <c r="BF393" i="23" s="1"/>
  <c r="V391" i="23"/>
  <c r="BB392" i="23" s="1"/>
  <c r="BB393" i="23" s="1"/>
  <c r="V92" i="46"/>
  <c r="P83" i="46"/>
  <c r="H83" i="46" s="1"/>
  <c r="S83" i="46" s="1"/>
  <c r="V72" i="46"/>
  <c r="P123" i="46"/>
  <c r="P132" i="46"/>
  <c r="H132" i="46" s="1"/>
  <c r="S132" i="46" s="1"/>
  <c r="P87" i="46"/>
  <c r="H87" i="46" s="1"/>
  <c r="S87" i="46" s="1"/>
  <c r="P125" i="46"/>
  <c r="H125" i="46" s="1"/>
  <c r="S125" i="46" s="1"/>
  <c r="AM3" i="48"/>
  <c r="AM4" i="48"/>
  <c r="Q55" i="48"/>
  <c r="N55" i="48" s="1"/>
  <c r="Q79" i="48"/>
  <c r="N79" i="48" s="1"/>
  <c r="Q59" i="48"/>
  <c r="N59" i="48" s="1"/>
  <c r="Q74" i="48"/>
  <c r="N74" i="48" s="1"/>
  <c r="Q81" i="48"/>
  <c r="W81" i="48" s="1"/>
  <c r="Q60" i="48"/>
  <c r="Q64" i="48"/>
  <c r="N64" i="48" s="1"/>
  <c r="T160" i="33"/>
  <c r="T455" i="33"/>
  <c r="U455" i="33" s="1"/>
  <c r="T315" i="33"/>
  <c r="U315" i="33" s="1"/>
  <c r="T354" i="33"/>
  <c r="U354" i="33" s="1"/>
  <c r="T254" i="33"/>
  <c r="U254" i="33" s="1"/>
  <c r="T119" i="33"/>
  <c r="T110" i="33"/>
  <c r="U110" i="33" s="1"/>
  <c r="T324" i="33"/>
  <c r="U324" i="33" s="1"/>
  <c r="T567" i="33"/>
  <c r="U567" i="33" s="1"/>
  <c r="T245" i="33"/>
  <c r="U245" i="33" s="1"/>
  <c r="T578" i="33"/>
  <c r="U578" i="33" s="1"/>
  <c r="T568" i="33"/>
  <c r="U568" i="33" s="1"/>
  <c r="T186" i="33"/>
  <c r="T24" i="33"/>
  <c r="T395" i="33"/>
  <c r="U395" i="33" s="1"/>
  <c r="T50" i="33"/>
  <c r="T70" i="33"/>
  <c r="T243" i="33"/>
  <c r="T499" i="33"/>
  <c r="U499" i="33" s="1"/>
  <c r="T231" i="33"/>
  <c r="T591" i="33"/>
  <c r="U591" i="33" s="1"/>
  <c r="T16" i="33"/>
  <c r="U16" i="33" s="1"/>
  <c r="T87" i="33"/>
  <c r="T51" i="33"/>
  <c r="U51" i="33" s="1"/>
  <c r="T123" i="33"/>
  <c r="T177" i="33"/>
  <c r="U177" i="33" s="1"/>
  <c r="C20" i="48"/>
  <c r="M462" i="23"/>
  <c r="AA461" i="23" s="1"/>
  <c r="AI461" i="23" s="1"/>
  <c r="N38" i="48"/>
  <c r="W38" i="48"/>
  <c r="BF3" i="48"/>
  <c r="S33" i="46"/>
  <c r="AJ17" i="50"/>
  <c r="I204" i="23" s="1"/>
  <c r="AJ18" i="50"/>
  <c r="AL225" i="23" s="1"/>
  <c r="AA180" i="23"/>
  <c r="AJ37" i="50"/>
  <c r="Q204" i="23" s="1"/>
  <c r="AA237" i="23"/>
  <c r="AI237" i="23" s="1"/>
  <c r="J391" i="23"/>
  <c r="AP392" i="23" s="1"/>
  <c r="M17" i="48"/>
  <c r="H25" i="48"/>
  <c r="G25" i="48"/>
  <c r="AA484" i="23"/>
  <c r="AI484" i="23" s="1"/>
  <c r="AK354" i="23"/>
  <c r="AL354" i="23" s="1"/>
  <c r="AM354" i="23" s="1"/>
  <c r="AN354" i="23" s="1"/>
  <c r="AO354" i="23" s="1"/>
  <c r="AP354" i="23" s="1"/>
  <c r="AQ354" i="23" s="1"/>
  <c r="AR354" i="23" s="1"/>
  <c r="AS354" i="23" s="1"/>
  <c r="AT354" i="23" s="1"/>
  <c r="AU354" i="23" s="1"/>
  <c r="R42" i="48"/>
  <c r="AI20" i="23"/>
  <c r="B20" i="23" s="1"/>
  <c r="AI39" i="23"/>
  <c r="P33" i="46"/>
  <c r="P30" i="46"/>
  <c r="T386" i="33"/>
  <c r="U386" i="33" s="1"/>
  <c r="T307" i="33"/>
  <c r="U307" i="33" s="1"/>
  <c r="T388" i="33"/>
  <c r="U388" i="33" s="1"/>
  <c r="T219" i="33"/>
  <c r="T444" i="33"/>
  <c r="U444" i="33" s="1"/>
  <c r="T153" i="33"/>
  <c r="U153" i="33" s="1"/>
  <c r="T442" i="33"/>
  <c r="U442" i="33" s="1"/>
  <c r="T182" i="33"/>
  <c r="U182" i="33" s="1"/>
  <c r="T456" i="33"/>
  <c r="U456" i="33" s="1"/>
  <c r="T449" i="33"/>
  <c r="U449" i="33" s="1"/>
  <c r="T41" i="33"/>
  <c r="U41" i="33" s="1"/>
  <c r="T7" i="33"/>
  <c r="U7" i="33" s="1"/>
  <c r="T65" i="33"/>
  <c r="U65" i="33" s="1"/>
  <c r="T13" i="33"/>
  <c r="T9" i="33"/>
  <c r="U9" i="33" s="1"/>
  <c r="T11" i="33"/>
  <c r="U11" i="33" s="1"/>
  <c r="T563" i="33"/>
  <c r="U563" i="33" s="1"/>
  <c r="T196" i="33"/>
  <c r="U196" i="33" s="1"/>
  <c r="T310" i="33"/>
  <c r="U310" i="33" s="1"/>
  <c r="T453" i="33"/>
  <c r="U453" i="33" s="1"/>
  <c r="T139" i="33"/>
  <c r="U139" i="33" s="1"/>
  <c r="T242" i="33"/>
  <c r="T482" i="33"/>
  <c r="U482" i="33" s="1"/>
  <c r="T131" i="33"/>
  <c r="U131" i="33" s="1"/>
  <c r="T403" i="33"/>
  <c r="U403" i="33" s="1"/>
  <c r="T260" i="33"/>
  <c r="U260" i="33" s="1"/>
  <c r="T393" i="33"/>
  <c r="U393" i="33" s="1"/>
  <c r="T216" i="33"/>
  <c r="T138" i="33"/>
  <c r="T598" i="33"/>
  <c r="U598" i="33" s="1"/>
  <c r="T311" i="33"/>
  <c r="U311" i="33" s="1"/>
  <c r="T357" i="33"/>
  <c r="U357" i="33" s="1"/>
  <c r="T518" i="33"/>
  <c r="U518" i="33" s="1"/>
  <c r="T249" i="33"/>
  <c r="U249" i="33" s="1"/>
  <c r="T289" i="33"/>
  <c r="U289" i="33" s="1"/>
  <c r="T221" i="33"/>
  <c r="T32" i="33"/>
  <c r="U32" i="33" s="1"/>
  <c r="T290" i="33"/>
  <c r="U290" i="33" s="1"/>
  <c r="T514" i="33"/>
  <c r="U514" i="33" s="1"/>
  <c r="T195" i="33"/>
  <c r="U195" i="33" s="1"/>
  <c r="T451" i="33"/>
  <c r="U451" i="33" s="1"/>
  <c r="T292" i="33"/>
  <c r="U292" i="33" s="1"/>
  <c r="T218" i="33"/>
  <c r="T171" i="33"/>
  <c r="U171" i="33" s="1"/>
  <c r="T407" i="33"/>
  <c r="U407" i="33" s="1"/>
  <c r="T495" i="33"/>
  <c r="U495" i="33" s="1"/>
  <c r="T555" i="33"/>
  <c r="U555" i="33" s="1"/>
  <c r="T143" i="33"/>
  <c r="U143" i="33" s="1"/>
  <c r="T531" i="33"/>
  <c r="U531" i="33" s="1"/>
  <c r="T383" i="33"/>
  <c r="U383" i="33" s="1"/>
  <c r="T405" i="33"/>
  <c r="U405" i="33" s="1"/>
  <c r="T293" i="33"/>
  <c r="U293" i="33" s="1"/>
  <c r="T298" i="33"/>
  <c r="U298" i="33" s="1"/>
  <c r="T565" i="33"/>
  <c r="U565" i="33" s="1"/>
  <c r="T200" i="33"/>
  <c r="U200" i="33" s="1"/>
  <c r="T349" i="33"/>
  <c r="U349" i="33" s="1"/>
  <c r="T445" i="33"/>
  <c r="U445" i="33" s="1"/>
  <c r="T6" i="33"/>
  <c r="U6" i="33" s="1"/>
  <c r="T112" i="33"/>
  <c r="T83" i="33"/>
  <c r="U83" i="33" s="1"/>
  <c r="T167" i="33"/>
  <c r="U167" i="33" s="1"/>
  <c r="T67" i="33"/>
  <c r="U67" i="33" s="1"/>
  <c r="T59" i="33"/>
  <c r="U59" i="33" s="1"/>
  <c r="T55" i="33"/>
  <c r="T48" i="33"/>
  <c r="T15" i="33"/>
  <c r="AI47" i="23"/>
  <c r="AA36" i="48"/>
  <c r="J271" i="23"/>
  <c r="AJ35" i="23" s="1"/>
  <c r="Q80" i="48"/>
  <c r="N80" i="48" s="1"/>
  <c r="N11" i="53"/>
  <c r="L11" i="53" s="1"/>
  <c r="Q54" i="48"/>
  <c r="AI246" i="23"/>
  <c r="AI242" i="23" s="1"/>
  <c r="Q52" i="48"/>
  <c r="Q58" i="48"/>
  <c r="Q77" i="48"/>
  <c r="N77" i="48" s="1"/>
  <c r="T322" i="33"/>
  <c r="U322" i="33" s="1"/>
  <c r="T418" i="33"/>
  <c r="U418" i="33" s="1"/>
  <c r="T546" i="33"/>
  <c r="U546" i="33" s="1"/>
  <c r="T494" i="33"/>
  <c r="U494" i="33" s="1"/>
  <c r="T163" i="33"/>
  <c r="U163" i="33" s="1"/>
  <c r="T275" i="33"/>
  <c r="U275" i="33" s="1"/>
  <c r="T387" i="33"/>
  <c r="U387" i="33" s="1"/>
  <c r="T579" i="33"/>
  <c r="U579" i="33" s="1"/>
  <c r="T228" i="33"/>
  <c r="T308" i="33"/>
  <c r="U308" i="33" s="1"/>
  <c r="T404" i="33"/>
  <c r="U404" i="33" s="1"/>
  <c r="T175" i="33"/>
  <c r="U175" i="33" s="1"/>
  <c r="T389" i="33"/>
  <c r="U389" i="33" s="1"/>
  <c r="T140" i="33"/>
  <c r="U140" i="33" s="1"/>
  <c r="T510" i="33"/>
  <c r="U510" i="33" s="1"/>
  <c r="T178" i="33"/>
  <c r="T517" i="33"/>
  <c r="U517" i="33" s="1"/>
  <c r="T542" i="33"/>
  <c r="U542" i="33" s="1"/>
  <c r="T385" i="33"/>
  <c r="U385" i="33" s="1"/>
  <c r="T226" i="33"/>
  <c r="T572" i="33"/>
  <c r="U572" i="33" s="1"/>
  <c r="T479" i="33"/>
  <c r="U479" i="33" s="1"/>
  <c r="T204" i="33"/>
  <c r="U204" i="33" s="1"/>
  <c r="T506" i="33"/>
  <c r="U506" i="33" s="1"/>
  <c r="T146" i="33"/>
  <c r="T545" i="33"/>
  <c r="U545" i="33" s="1"/>
  <c r="T539" i="33"/>
  <c r="U539" i="33" s="1"/>
  <c r="T303" i="33"/>
  <c r="U303" i="33" s="1"/>
  <c r="T248" i="33"/>
  <c r="U248" i="33" s="1"/>
  <c r="T443" i="33"/>
  <c r="U443" i="33" s="1"/>
  <c r="T154" i="33"/>
  <c r="T155" i="33"/>
  <c r="U155" i="33" s="1"/>
  <c r="T262" i="33"/>
  <c r="U262" i="33" s="1"/>
  <c r="T358" i="33"/>
  <c r="U358" i="33" s="1"/>
  <c r="T343" i="33"/>
  <c r="U343" i="33" s="1"/>
  <c r="T438" i="33"/>
  <c r="U438" i="33" s="1"/>
  <c r="T559" i="33"/>
  <c r="U559" i="33" s="1"/>
  <c r="T573" i="33"/>
  <c r="U573" i="33" s="1"/>
  <c r="T428" i="33"/>
  <c r="U428" i="33" s="1"/>
  <c r="T593" i="33"/>
  <c r="U593" i="33" s="1"/>
  <c r="T341" i="33"/>
  <c r="U341" i="33" s="1"/>
  <c r="T277" i="33"/>
  <c r="U277" i="33" s="1"/>
  <c r="T217" i="33"/>
  <c r="T137" i="33"/>
  <c r="T159" i="33"/>
  <c r="U159" i="33" s="1"/>
  <c r="T330" i="33"/>
  <c r="U330" i="33" s="1"/>
  <c r="T347" i="33"/>
  <c r="U347" i="33" s="1"/>
  <c r="T426" i="33"/>
  <c r="U426" i="33" s="1"/>
  <c r="T550" i="33"/>
  <c r="U550" i="33" s="1"/>
  <c r="T501" i="33"/>
  <c r="U501" i="33" s="1"/>
  <c r="T472" i="33"/>
  <c r="U472" i="33" s="1"/>
  <c r="T118" i="33"/>
  <c r="T523" i="33"/>
  <c r="U523" i="33" s="1"/>
  <c r="T408" i="33"/>
  <c r="U408" i="33" s="1"/>
  <c r="T213" i="33"/>
  <c r="U213" i="33" s="1"/>
  <c r="T317" i="33"/>
  <c r="U317" i="33" s="1"/>
  <c r="T348" i="33"/>
  <c r="U348" i="33" s="1"/>
  <c r="T345" i="33"/>
  <c r="U345" i="33" s="1"/>
  <c r="T141" i="33"/>
  <c r="U141" i="33" s="1"/>
  <c r="T156" i="33"/>
  <c r="T416" i="33"/>
  <c r="U416" i="33" s="1"/>
  <c r="T527" i="33"/>
  <c r="U527" i="33" s="1"/>
  <c r="T372" i="33"/>
  <c r="U372" i="33" s="1"/>
  <c r="T359" i="33"/>
  <c r="U359" i="33" s="1"/>
  <c r="T450" i="33"/>
  <c r="U450" i="33" s="1"/>
  <c r="T45" i="33"/>
  <c r="U45" i="33" s="1"/>
  <c r="T28" i="33"/>
  <c r="U28" i="33" s="1"/>
  <c r="T62" i="33"/>
  <c r="U62" i="33" s="1"/>
  <c r="T47" i="33"/>
  <c r="U47" i="33" s="1"/>
  <c r="T511" i="33"/>
  <c r="U511" i="33" s="1"/>
  <c r="T264" i="33"/>
  <c r="U264" i="33" s="1"/>
  <c r="T540" i="33"/>
  <c r="U540" i="33" s="1"/>
  <c r="T327" i="33"/>
  <c r="U327" i="33" s="1"/>
  <c r="T312" i="33"/>
  <c r="U312" i="33" s="1"/>
  <c r="T551" i="33"/>
  <c r="U551" i="33" s="1"/>
  <c r="T454" i="33"/>
  <c r="U454" i="33" s="1"/>
  <c r="T147" i="33"/>
  <c r="U147" i="33" s="1"/>
  <c r="T278" i="33"/>
  <c r="U278" i="33" s="1"/>
  <c r="T270" i="33"/>
  <c r="U270" i="33" s="1"/>
  <c r="T299" i="33"/>
  <c r="U299" i="33" s="1"/>
  <c r="T194" i="33"/>
  <c r="U194" i="33" s="1"/>
  <c r="T423" i="33"/>
  <c r="U423" i="33" s="1"/>
  <c r="T187" i="33"/>
  <c r="U187" i="33" s="1"/>
  <c r="T294" i="33"/>
  <c r="U294" i="33" s="1"/>
  <c r="T247" i="33"/>
  <c r="U247" i="33" s="1"/>
  <c r="T503" i="33"/>
  <c r="U503" i="33" s="1"/>
  <c r="T390" i="33"/>
  <c r="U390" i="33" s="1"/>
  <c r="T507" i="33"/>
  <c r="U507" i="33" s="1"/>
  <c r="T509" i="33"/>
  <c r="U509" i="33" s="1"/>
  <c r="T412" i="33"/>
  <c r="U412" i="33" s="1"/>
  <c r="T465" i="33"/>
  <c r="U465" i="33" s="1"/>
  <c r="T325" i="33"/>
  <c r="U325" i="33" s="1"/>
  <c r="T261" i="33"/>
  <c r="U261" i="33" s="1"/>
  <c r="T201" i="33"/>
  <c r="U201" i="33" s="1"/>
  <c r="T121" i="33"/>
  <c r="T473" i="33"/>
  <c r="U473" i="33" s="1"/>
  <c r="T191" i="33"/>
  <c r="T362" i="33"/>
  <c r="U362" i="33" s="1"/>
  <c r="T377" i="33"/>
  <c r="U377" i="33" s="1"/>
  <c r="T459" i="33"/>
  <c r="U459" i="33" s="1"/>
  <c r="T582" i="33"/>
  <c r="U582" i="33" s="1"/>
  <c r="T441" i="33"/>
  <c r="U441" i="33" s="1"/>
  <c r="T287" i="33"/>
  <c r="U287" i="33" s="1"/>
  <c r="T522" i="33"/>
  <c r="U522" i="33" s="1"/>
  <c r="T380" i="33"/>
  <c r="U380" i="33" s="1"/>
  <c r="T165" i="33"/>
  <c r="T569" i="33"/>
  <c r="U569" i="33" s="1"/>
  <c r="T253" i="33"/>
  <c r="T284" i="33"/>
  <c r="U284" i="33" s="1"/>
  <c r="T329" i="33"/>
  <c r="U329" i="33" s="1"/>
  <c r="T220" i="33"/>
  <c r="T516" i="33"/>
  <c r="U516" i="33" s="1"/>
  <c r="T162" i="33"/>
  <c r="O602" i="33"/>
  <c r="T592" i="33"/>
  <c r="U592" i="33" s="1"/>
  <c r="T496" i="33"/>
  <c r="U496" i="33" s="1"/>
  <c r="T79" i="33"/>
  <c r="T61" i="33"/>
  <c r="U61" i="33" s="1"/>
  <c r="T491" i="33"/>
  <c r="U491" i="33" s="1"/>
  <c r="T263" i="33"/>
  <c r="U263" i="33" s="1"/>
  <c r="T211" i="33"/>
  <c r="U211" i="33" s="1"/>
  <c r="T170" i="33"/>
  <c r="T476" i="33"/>
  <c r="U476" i="33" s="1"/>
  <c r="T580" i="33"/>
  <c r="U580" i="33" s="1"/>
  <c r="T595" i="33"/>
  <c r="U595" i="33" s="1"/>
  <c r="T384" i="33"/>
  <c r="U384" i="33" s="1"/>
  <c r="T398" i="33"/>
  <c r="U398" i="33" s="1"/>
  <c r="T401" i="33"/>
  <c r="U401" i="33" s="1"/>
  <c r="T124" i="33"/>
  <c r="U124" i="33" s="1"/>
  <c r="T157" i="33"/>
  <c r="U157" i="33" s="1"/>
  <c r="T265" i="33"/>
  <c r="U265" i="33" s="1"/>
  <c r="T497" i="33"/>
  <c r="U497" i="33" s="1"/>
  <c r="T364" i="33"/>
  <c r="U364" i="33" s="1"/>
  <c r="T537" i="33"/>
  <c r="U537" i="33" s="1"/>
  <c r="T113" i="33"/>
  <c r="U113" i="33" s="1"/>
  <c r="T5" i="33"/>
  <c r="U5" i="33" s="1"/>
  <c r="T421" i="33"/>
  <c r="U421" i="33" s="1"/>
  <c r="T350" i="33"/>
  <c r="U350" i="33" s="1"/>
  <c r="T244" i="33"/>
  <c r="U244" i="33" s="1"/>
  <c r="T179" i="33"/>
  <c r="T367" i="33"/>
  <c r="U367" i="33" s="1"/>
  <c r="T399" i="33"/>
  <c r="U399" i="33" s="1"/>
  <c r="T508" i="33"/>
  <c r="U508" i="33" s="1"/>
  <c r="T564" i="33"/>
  <c r="U564" i="33" s="1"/>
  <c r="T547" i="33"/>
  <c r="U547" i="33" s="1"/>
  <c r="T368" i="33"/>
  <c r="U368" i="33" s="1"/>
  <c r="T487" i="33"/>
  <c r="U487" i="33" s="1"/>
  <c r="T151" i="33"/>
  <c r="T205" i="33"/>
  <c r="U205" i="33" s="1"/>
  <c r="T281" i="33"/>
  <c r="U281" i="33" s="1"/>
  <c r="T525" i="33"/>
  <c r="U525" i="33" s="1"/>
  <c r="T268" i="33"/>
  <c r="U268" i="33" s="1"/>
  <c r="T433" i="33"/>
  <c r="U433" i="33" s="1"/>
  <c r="T129" i="33"/>
  <c r="U129" i="33" s="1"/>
  <c r="T269" i="33"/>
  <c r="U269" i="33" s="1"/>
  <c r="T541" i="33"/>
  <c r="U541" i="33" s="1"/>
  <c r="T230" i="33"/>
  <c r="T229" i="33"/>
  <c r="T392" i="33"/>
  <c r="U392" i="33" s="1"/>
  <c r="T554" i="33"/>
  <c r="U554" i="33" s="1"/>
  <c r="T381" i="33"/>
  <c r="U381" i="33" s="1"/>
  <c r="T236" i="33"/>
  <c r="T198" i="33"/>
  <c r="U198" i="33" s="1"/>
  <c r="T577" i="33"/>
  <c r="U577" i="33" s="1"/>
  <c r="T457" i="33"/>
  <c r="U457" i="33" s="1"/>
  <c r="T556" i="33"/>
  <c r="U556" i="33" s="1"/>
  <c r="T486" i="33"/>
  <c r="U486" i="33" s="1"/>
  <c r="T394" i="33"/>
  <c r="U394" i="33" s="1"/>
  <c r="T519" i="33"/>
  <c r="U519" i="33" s="1"/>
  <c r="T251" i="33"/>
  <c r="U251" i="33" s="1"/>
  <c r="T266" i="33"/>
  <c r="U266" i="33" s="1"/>
  <c r="T127" i="33"/>
  <c r="T601" i="33"/>
  <c r="U601" i="33" s="1"/>
  <c r="T246" i="33"/>
  <c r="U246" i="33" s="1"/>
  <c r="T169" i="33"/>
  <c r="U169" i="33" s="1"/>
  <c r="T417" i="33"/>
  <c r="U417" i="33" s="1"/>
  <c r="T274" i="33"/>
  <c r="U274" i="33" s="1"/>
  <c r="T172" i="33"/>
  <c r="T115" i="33"/>
  <c r="U115" i="33" s="1"/>
  <c r="T114" i="33"/>
  <c r="U114" i="33" s="1"/>
  <c r="T288" i="33"/>
  <c r="U288" i="33" s="1"/>
  <c r="T431" i="33"/>
  <c r="U431" i="33" s="1"/>
  <c r="T562" i="33"/>
  <c r="U562" i="33" s="1"/>
  <c r="T532" i="33"/>
  <c r="U532" i="33" s="1"/>
  <c r="T530" i="33"/>
  <c r="U530" i="33" s="1"/>
  <c r="T192" i="33"/>
  <c r="U192" i="33" s="1"/>
  <c r="T458" i="33"/>
  <c r="U458" i="33" s="1"/>
  <c r="T583" i="33"/>
  <c r="U583" i="33" s="1"/>
  <c r="T379" i="33"/>
  <c r="U379" i="33" s="1"/>
  <c r="T461" i="33"/>
  <c r="U461" i="33" s="1"/>
  <c r="T447" i="33"/>
  <c r="U447" i="33" s="1"/>
  <c r="T258" i="33"/>
  <c r="U258" i="33" s="1"/>
  <c r="T370" i="33"/>
  <c r="U370" i="33" s="1"/>
  <c r="T570" i="33"/>
  <c r="U570" i="33" s="1"/>
  <c r="T227" i="33"/>
  <c r="T371" i="33"/>
  <c r="U371" i="33" s="1"/>
  <c r="T419" i="33"/>
  <c r="U419" i="33" s="1"/>
  <c r="T515" i="33"/>
  <c r="U515" i="33" s="1"/>
  <c r="T164" i="33"/>
  <c r="T276" i="33"/>
  <c r="U276" i="33" s="1"/>
  <c r="T356" i="33"/>
  <c r="U356" i="33" s="1"/>
  <c r="T470" i="33"/>
  <c r="U470" i="33" s="1"/>
  <c r="T344" i="33"/>
  <c r="U344" i="33" s="1"/>
  <c r="T481" i="33"/>
  <c r="U481" i="33" s="1"/>
  <c r="T538" i="33"/>
  <c r="U538" i="33" s="1"/>
  <c r="T239" i="33"/>
  <c r="T235" i="33"/>
  <c r="T415" i="33"/>
  <c r="U415" i="33" s="1"/>
  <c r="T553" i="33"/>
  <c r="U553" i="33" s="1"/>
  <c r="T599" i="33"/>
  <c r="U599" i="33" s="1"/>
  <c r="T282" i="33"/>
  <c r="U282" i="33" s="1"/>
  <c r="T360" i="33"/>
  <c r="U360" i="33" s="1"/>
  <c r="T549" i="33"/>
  <c r="U549" i="33" s="1"/>
  <c r="T446" i="33"/>
  <c r="U446" i="33" s="1"/>
  <c r="T184" i="33"/>
  <c r="U184" i="33" s="1"/>
  <c r="T574" i="33"/>
  <c r="U574" i="33" s="1"/>
  <c r="T232" i="33"/>
  <c r="T280" i="33"/>
  <c r="U280" i="33" s="1"/>
  <c r="T581" i="33"/>
  <c r="U581" i="33" s="1"/>
  <c r="T594" i="33"/>
  <c r="U594" i="33" s="1"/>
  <c r="T326" i="33"/>
  <c r="U326" i="33" s="1"/>
  <c r="T279" i="33"/>
  <c r="U279" i="33" s="1"/>
  <c r="T373" i="33"/>
  <c r="U373" i="33" s="1"/>
  <c r="T422" i="33"/>
  <c r="U422" i="33" s="1"/>
  <c r="T571" i="33"/>
  <c r="U571" i="33" s="1"/>
  <c r="T460" i="33"/>
  <c r="U460" i="33" s="1"/>
  <c r="T396" i="33"/>
  <c r="U396" i="33" s="1"/>
  <c r="T488" i="33"/>
  <c r="U488" i="33" s="1"/>
  <c r="T309" i="33"/>
  <c r="U309" i="33" s="1"/>
  <c r="T376" i="33"/>
  <c r="U376" i="33" s="1"/>
  <c r="T185" i="33"/>
  <c r="U185" i="33" s="1"/>
  <c r="T223" i="33"/>
  <c r="T283" i="33"/>
  <c r="U283" i="33" s="1"/>
  <c r="T409" i="33"/>
  <c r="U409" i="33" s="1"/>
  <c r="T575" i="33"/>
  <c r="U575" i="33" s="1"/>
  <c r="T492" i="33"/>
  <c r="U492" i="33" s="1"/>
  <c r="T411" i="33"/>
  <c r="U411" i="33" s="1"/>
  <c r="T237" i="33"/>
  <c r="T241" i="33"/>
  <c r="T535" i="33"/>
  <c r="U535" i="33" s="1"/>
  <c r="T493" i="33"/>
  <c r="U493" i="33" s="1"/>
  <c r="T353" i="33"/>
  <c r="U353" i="33" s="1"/>
  <c r="T117" i="33"/>
  <c r="T552" i="33"/>
  <c r="U552" i="33" s="1"/>
  <c r="T193" i="33"/>
  <c r="U193" i="33" s="1"/>
  <c r="T597" i="33"/>
  <c r="U597" i="33" s="1"/>
  <c r="T543" i="33"/>
  <c r="U543" i="33" s="1"/>
  <c r="T144" i="33"/>
  <c r="U144" i="33" s="1"/>
  <c r="T286" i="33"/>
  <c r="U286" i="33" s="1"/>
  <c r="T74" i="33"/>
  <c r="T37" i="33"/>
  <c r="U37" i="33" s="1"/>
  <c r="T20" i="33"/>
  <c r="T76" i="33"/>
  <c r="T72" i="33"/>
  <c r="U72" i="33" s="1"/>
  <c r="T68" i="33"/>
  <c r="U68" i="33" s="1"/>
  <c r="T464" i="33"/>
  <c r="U464" i="33" s="1"/>
  <c r="T101" i="33"/>
  <c r="U101" i="33" s="1"/>
  <c r="T86" i="33"/>
  <c r="U86" i="33" s="1"/>
  <c r="T82" i="33"/>
  <c r="U82" i="33" s="1"/>
  <c r="T78" i="33"/>
  <c r="U78" i="33" s="1"/>
  <c r="T73" i="33"/>
  <c r="U73" i="33" s="1"/>
  <c r="T69" i="33"/>
  <c r="U69" i="33" s="1"/>
  <c r="T64" i="33"/>
  <c r="U64" i="33" s="1"/>
  <c r="T58" i="33"/>
  <c r="U58" i="33" s="1"/>
  <c r="T54" i="33"/>
  <c r="U54" i="33" s="1"/>
  <c r="T49" i="33"/>
  <c r="U49" i="33" s="1"/>
  <c r="T44" i="33"/>
  <c r="U44" i="33" s="1"/>
  <c r="T40" i="33"/>
  <c r="U40" i="33" s="1"/>
  <c r="T36" i="33"/>
  <c r="U36" i="33" s="1"/>
  <c r="T31" i="33"/>
  <c r="U31" i="33" s="1"/>
  <c r="T27" i="33"/>
  <c r="U27" i="33" s="1"/>
  <c r="T23" i="33"/>
  <c r="U23" i="33" s="1"/>
  <c r="T19" i="33"/>
  <c r="U19" i="33" s="1"/>
  <c r="T14" i="33"/>
  <c r="U14" i="33" s="1"/>
  <c r="T10" i="33"/>
  <c r="U10" i="33" s="1"/>
  <c r="T33" i="33"/>
  <c r="U33" i="33" s="1"/>
  <c r="T89" i="33"/>
  <c r="U89" i="33" s="1"/>
  <c r="T85" i="33"/>
  <c r="U85" i="33" s="1"/>
  <c r="T81" i="33"/>
  <c r="T57" i="33"/>
  <c r="T53" i="33"/>
  <c r="U53" i="33" s="1"/>
  <c r="T43" i="33"/>
  <c r="T39" i="33"/>
  <c r="U39" i="33" s="1"/>
  <c r="T35" i="33"/>
  <c r="T30" i="33"/>
  <c r="U30" i="33" s="1"/>
  <c r="T26" i="33"/>
  <c r="U26" i="33" s="1"/>
  <c r="T22" i="33"/>
  <c r="U22" i="33" s="1"/>
  <c r="T18" i="33"/>
  <c r="U18" i="33" s="1"/>
  <c r="T77" i="33"/>
  <c r="U77" i="33" s="1"/>
  <c r="T63" i="33"/>
  <c r="U63" i="33" s="1"/>
  <c r="B13" i="48"/>
  <c r="T436" i="33"/>
  <c r="U436" i="33" s="1"/>
  <c r="T432" i="33"/>
  <c r="U432" i="33" s="1"/>
  <c r="T88" i="33"/>
  <c r="U88" i="33" s="1"/>
  <c r="T84" i="33"/>
  <c r="U84" i="33" s="1"/>
  <c r="T80" i="33"/>
  <c r="T75" i="33"/>
  <c r="T71" i="33"/>
  <c r="T66" i="33"/>
  <c r="T60" i="33"/>
  <c r="U60" i="33" s="1"/>
  <c r="T56" i="33"/>
  <c r="T52" i="33"/>
  <c r="U52" i="33" s="1"/>
  <c r="T46" i="33"/>
  <c r="U46" i="33" s="1"/>
  <c r="T42" i="33"/>
  <c r="U42" i="33" s="1"/>
  <c r="T38" i="33"/>
  <c r="U38" i="33" s="1"/>
  <c r="T34" i="33"/>
  <c r="U34" i="33" s="1"/>
  <c r="T29" i="33"/>
  <c r="U29" i="33" s="1"/>
  <c r="T25" i="33"/>
  <c r="T21" i="33"/>
  <c r="U21" i="33" s="1"/>
  <c r="T17" i="33"/>
  <c r="U17" i="33" s="1"/>
  <c r="T12" i="33"/>
  <c r="T8" i="33"/>
  <c r="U8" i="33" s="1"/>
  <c r="AI23" i="23"/>
  <c r="AI42" i="23"/>
  <c r="AF303" i="23"/>
  <c r="AH136" i="48"/>
  <c r="AY16" i="48"/>
  <c r="AY15" i="48"/>
  <c r="AY13" i="48"/>
  <c r="AY14" i="48"/>
  <c r="AY12" i="48"/>
  <c r="AY11" i="48"/>
  <c r="BR3" i="48"/>
  <c r="AX3" i="48"/>
  <c r="BN3" i="48"/>
  <c r="BB4" i="48"/>
  <c r="D31" i="48"/>
  <c r="I146" i="48"/>
  <c r="I25" i="48"/>
  <c r="K25" i="48"/>
  <c r="BH3" i="48"/>
  <c r="N13" i="48"/>
  <c r="R33" i="48" s="1"/>
  <c r="L176" i="48" s="1"/>
  <c r="J25" i="48"/>
  <c r="N10" i="48"/>
  <c r="L25" i="48"/>
  <c r="R77" i="48"/>
  <c r="AI30" i="23"/>
  <c r="AI21" i="23"/>
  <c r="AI22" i="23"/>
  <c r="AI53" i="23"/>
  <c r="AI26" i="23"/>
  <c r="AI34" i="23"/>
  <c r="AI43" i="23"/>
  <c r="AI52" i="23"/>
  <c r="AI27" i="23"/>
  <c r="AI32" i="23"/>
  <c r="AA191" i="23"/>
  <c r="AI191" i="23" s="1"/>
  <c r="B63" i="45"/>
  <c r="R65" i="45" s="1"/>
  <c r="G67" i="45" s="1"/>
  <c r="R23" i="45"/>
  <c r="B25" i="45" s="1"/>
  <c r="B63" i="52"/>
  <c r="R23" i="52"/>
  <c r="T90" i="33"/>
  <c r="U90" i="33" s="1"/>
  <c r="T102" i="33"/>
  <c r="U102" i="33" s="1"/>
  <c r="T190" i="33"/>
  <c r="U190" i="33" s="1"/>
  <c r="T208" i="33"/>
  <c r="U208" i="33" s="1"/>
  <c r="T222" i="33"/>
  <c r="T238" i="33"/>
  <c r="T272" i="33"/>
  <c r="T320" i="33"/>
  <c r="U320" i="33" s="1"/>
  <c r="T323" i="33"/>
  <c r="U323" i="33" s="1"/>
  <c r="T352" i="33"/>
  <c r="U352" i="33" s="1"/>
  <c r="T366" i="33"/>
  <c r="U366" i="33" s="1"/>
  <c r="T430" i="33"/>
  <c r="U430" i="33" s="1"/>
  <c r="T448" i="33"/>
  <c r="U448" i="33" s="1"/>
  <c r="T462" i="33"/>
  <c r="U462" i="33" s="1"/>
  <c r="T528" i="33"/>
  <c r="U528" i="33" s="1"/>
  <c r="T544" i="33"/>
  <c r="U544" i="33" s="1"/>
  <c r="T475" i="33"/>
  <c r="U475" i="33" s="1"/>
  <c r="T410" i="33"/>
  <c r="U410" i="33" s="1"/>
  <c r="T91" i="33"/>
  <c r="T105" i="33"/>
  <c r="U105" i="33" s="1"/>
  <c r="T126" i="33"/>
  <c r="U126" i="33" s="1"/>
  <c r="T142" i="33"/>
  <c r="U142" i="33" s="1"/>
  <c r="T180" i="33"/>
  <c r="U180" i="33" s="1"/>
  <c r="T206" i="33"/>
  <c r="U206" i="33" s="1"/>
  <c r="T212" i="33"/>
  <c r="T256" i="33"/>
  <c r="U256" i="33" s="1"/>
  <c r="T306" i="33"/>
  <c r="U306" i="33" s="1"/>
  <c r="T420" i="33"/>
  <c r="U420" i="33" s="1"/>
  <c r="T480" i="33"/>
  <c r="U480" i="33" s="1"/>
  <c r="T498" i="33"/>
  <c r="U498" i="33" s="1"/>
  <c r="T467" i="33"/>
  <c r="U467" i="33" s="1"/>
  <c r="T406" i="33"/>
  <c r="U406" i="33" s="1"/>
  <c r="T471" i="33"/>
  <c r="U471" i="33" s="1"/>
  <c r="T291" i="33"/>
  <c r="U291" i="33" s="1"/>
  <c r="T346" i="33"/>
  <c r="U346" i="33" s="1"/>
  <c r="T203" i="33"/>
  <c r="U203" i="33" s="1"/>
  <c r="T111" i="33"/>
  <c r="T233" i="33"/>
  <c r="T122" i="33"/>
  <c r="U122" i="33" s="1"/>
  <c r="T210" i="33"/>
  <c r="T296" i="33"/>
  <c r="U296" i="33" s="1"/>
  <c r="T504" i="33"/>
  <c r="U504" i="33" s="1"/>
  <c r="T512" i="33"/>
  <c r="U512" i="33" s="1"/>
  <c r="T526" i="33"/>
  <c r="U526" i="33" s="1"/>
  <c r="T548" i="33"/>
  <c r="U548" i="33" s="1"/>
  <c r="T500" i="33"/>
  <c r="U500" i="33" s="1"/>
  <c r="T240" i="33"/>
  <c r="T128" i="33"/>
  <c r="T489" i="33"/>
  <c r="U489" i="33" s="1"/>
  <c r="T215" i="33"/>
  <c r="T173" i="33"/>
  <c r="U173" i="33" s="1"/>
  <c r="T297" i="33"/>
  <c r="U297" i="33" s="1"/>
  <c r="T361" i="33"/>
  <c r="U361" i="33" s="1"/>
  <c r="T589" i="33"/>
  <c r="U589" i="33" s="1"/>
  <c r="T300" i="33"/>
  <c r="U300" i="33" s="1"/>
  <c r="T536" i="33"/>
  <c r="U536" i="33" s="1"/>
  <c r="T469" i="33"/>
  <c r="U469" i="33" s="1"/>
  <c r="T524" i="33"/>
  <c r="U524" i="33" s="1"/>
  <c r="T145" i="33"/>
  <c r="U145" i="33" s="1"/>
  <c r="T209" i="33"/>
  <c r="U209" i="33" s="1"/>
  <c r="T285" i="33"/>
  <c r="U285" i="33" s="1"/>
  <c r="T529" i="33"/>
  <c r="U529" i="33" s="1"/>
  <c r="T133" i="33"/>
  <c r="U133" i="33" s="1"/>
  <c r="T181" i="33"/>
  <c r="U181" i="33" s="1"/>
  <c r="T257" i="33"/>
  <c r="U257" i="33" s="1"/>
  <c r="T305" i="33"/>
  <c r="U305" i="33" s="1"/>
  <c r="T584" i="33"/>
  <c r="U584" i="33" s="1"/>
  <c r="T424" i="33"/>
  <c r="U424" i="33" s="1"/>
  <c r="T557" i="33"/>
  <c r="U557" i="33" s="1"/>
  <c r="T490" i="33"/>
  <c r="U490" i="33" s="1"/>
  <c r="T463" i="33"/>
  <c r="U463" i="33" s="1"/>
  <c r="T351" i="33"/>
  <c r="U351" i="33" s="1"/>
  <c r="T255" i="33"/>
  <c r="U255" i="33" s="1"/>
  <c r="T168" i="33"/>
  <c r="T585" i="33"/>
  <c r="U585" i="33" s="1"/>
  <c r="T150" i="33"/>
  <c r="U150" i="33" s="1"/>
  <c r="T214" i="33"/>
  <c r="U214" i="33" s="1"/>
  <c r="T600" i="33"/>
  <c r="U600" i="33" s="1"/>
  <c r="T427" i="33"/>
  <c r="U427" i="33" s="1"/>
  <c r="T95" i="33"/>
  <c r="T97" i="33"/>
  <c r="T106" i="33"/>
  <c r="U106" i="33" s="1"/>
  <c r="T158" i="33"/>
  <c r="U158" i="33" s="1"/>
  <c r="T304" i="33"/>
  <c r="U304" i="33" s="1"/>
  <c r="T382" i="33"/>
  <c r="U382" i="33" s="1"/>
  <c r="T466" i="33"/>
  <c r="U466" i="33" s="1"/>
  <c r="T484" i="33"/>
  <c r="U484" i="33" s="1"/>
  <c r="T560" i="33"/>
  <c r="U560" i="33" s="1"/>
  <c r="T474" i="33"/>
  <c r="U474" i="33" s="1"/>
  <c r="T439" i="33"/>
  <c r="U439" i="33" s="1"/>
  <c r="T425" i="33"/>
  <c r="U425" i="33" s="1"/>
  <c r="T363" i="33"/>
  <c r="U363" i="33" s="1"/>
  <c r="T271" i="33"/>
  <c r="T318" i="33"/>
  <c r="U318" i="33" s="1"/>
  <c r="T378" i="33"/>
  <c r="U378" i="33" s="1"/>
  <c r="T152" i="33"/>
  <c r="U152" i="33" s="1"/>
  <c r="T199" i="33"/>
  <c r="T250" i="33"/>
  <c r="U250" i="33" s="1"/>
  <c r="T328" i="33"/>
  <c r="U328" i="33" s="1"/>
  <c r="T391" i="33"/>
  <c r="U391" i="33" s="1"/>
  <c r="T437" i="33"/>
  <c r="U437" i="33" s="1"/>
  <c r="T485" i="33"/>
  <c r="U485" i="33" s="1"/>
  <c r="T558" i="33"/>
  <c r="U558" i="33" s="1"/>
  <c r="T596" i="33"/>
  <c r="U596" i="33" s="1"/>
  <c r="T566" i="33"/>
  <c r="U566" i="33" s="1"/>
  <c r="T400" i="33"/>
  <c r="U400" i="33" s="1"/>
  <c r="T224" i="33"/>
  <c r="T478" i="33"/>
  <c r="U478" i="33" s="1"/>
  <c r="T369" i="33"/>
  <c r="U369" i="33" s="1"/>
  <c r="T188" i="33"/>
  <c r="U188" i="33" s="1"/>
  <c r="T183" i="33"/>
  <c r="U183" i="33" s="1"/>
  <c r="T505" i="33"/>
  <c r="U505" i="33" s="1"/>
  <c r="T125" i="33"/>
  <c r="U125" i="33" s="1"/>
  <c r="T189" i="33"/>
  <c r="U189" i="33" s="1"/>
  <c r="T375" i="33"/>
  <c r="U375" i="33" s="1"/>
  <c r="T313" i="33"/>
  <c r="U313" i="33" s="1"/>
  <c r="T520" i="33"/>
  <c r="U520" i="33" s="1"/>
  <c r="T521" i="33"/>
  <c r="U521" i="33" s="1"/>
  <c r="T252" i="33"/>
  <c r="U252" i="33" s="1"/>
  <c r="T316" i="33"/>
  <c r="U316" i="33" s="1"/>
  <c r="T513" i="33"/>
  <c r="U513" i="33" s="1"/>
  <c r="T533" i="33"/>
  <c r="U533" i="33" s="1"/>
  <c r="T588" i="33"/>
  <c r="U588" i="33" s="1"/>
  <c r="T161" i="33"/>
  <c r="U161" i="33" s="1"/>
  <c r="T225" i="33"/>
  <c r="T301" i="33"/>
  <c r="U301" i="33" s="1"/>
  <c r="T365" i="33"/>
  <c r="U365" i="33" s="1"/>
  <c r="T477" i="33"/>
  <c r="U477" i="33" s="1"/>
  <c r="T149" i="33"/>
  <c r="T197" i="33"/>
  <c r="T273" i="33"/>
  <c r="U273" i="33" s="1"/>
  <c r="T321" i="33"/>
  <c r="U321" i="33" s="1"/>
  <c r="T561" i="33"/>
  <c r="U561" i="33" s="1"/>
  <c r="T440" i="33"/>
  <c r="U440" i="33" s="1"/>
  <c r="T586" i="33"/>
  <c r="U586" i="33" s="1"/>
  <c r="T587" i="33"/>
  <c r="U587" i="33" s="1"/>
  <c r="T413" i="33"/>
  <c r="U413" i="33" s="1"/>
  <c r="T319" i="33"/>
  <c r="U319" i="33" s="1"/>
  <c r="T374" i="33"/>
  <c r="U374" i="33" s="1"/>
  <c r="T136" i="33"/>
  <c r="T166" i="33"/>
  <c r="T295" i="33"/>
  <c r="U295" i="33" s="1"/>
  <c r="T414" i="33"/>
  <c r="U414" i="33" s="1"/>
  <c r="T93" i="33"/>
  <c r="U93" i="33" s="1"/>
  <c r="T108" i="33"/>
  <c r="U108" i="33" s="1"/>
  <c r="T104" i="33"/>
  <c r="T100" i="33"/>
  <c r="U100" i="33" s="1"/>
  <c r="T96" i="33"/>
  <c r="U96" i="33" s="1"/>
  <c r="T116" i="33"/>
  <c r="U116" i="33" s="1"/>
  <c r="T107" i="33"/>
  <c r="U107" i="33" s="1"/>
  <c r="T103" i="33"/>
  <c r="T99" i="33"/>
  <c r="U99" i="33" s="1"/>
  <c r="T109" i="33"/>
  <c r="U109" i="33" s="1"/>
  <c r="T98" i="33"/>
  <c r="T92" i="33"/>
  <c r="T134" i="33"/>
  <c r="U134" i="33" s="1"/>
  <c r="T335" i="33"/>
  <c r="U335" i="33" s="1"/>
  <c r="T334" i="33"/>
  <c r="U334" i="33" s="1"/>
  <c r="T337" i="33"/>
  <c r="U337" i="33" s="1"/>
  <c r="T340" i="33"/>
  <c r="U340" i="33" s="1"/>
  <c r="T332" i="33"/>
  <c r="U332" i="33" s="1"/>
  <c r="T234" i="33"/>
  <c r="U234" i="33" s="1"/>
  <c r="T339" i="33"/>
  <c r="U339" i="33" s="1"/>
  <c r="T333" i="33"/>
  <c r="U333" i="33" s="1"/>
  <c r="T336" i="33"/>
  <c r="U336" i="33" s="1"/>
  <c r="T331" i="33"/>
  <c r="U331" i="33" s="1"/>
  <c r="T534" i="33"/>
  <c r="U534" i="33" s="1"/>
  <c r="T338" i="33"/>
  <c r="U338" i="33" s="1"/>
  <c r="T434" i="33"/>
  <c r="U434" i="33" s="1"/>
  <c r="T202" i="33"/>
  <c r="T130" i="33"/>
  <c r="U130" i="33" s="1"/>
  <c r="T135" i="33"/>
  <c r="U135" i="33" s="1"/>
  <c r="T207" i="33"/>
  <c r="U207" i="33" s="1"/>
  <c r="T148" i="33"/>
  <c r="U148" i="33" s="1"/>
  <c r="T176" i="33"/>
  <c r="U176" i="33" s="1"/>
  <c r="T342" i="33"/>
  <c r="U342" i="33" s="1"/>
  <c r="T267" i="33"/>
  <c r="U267" i="33" s="1"/>
  <c r="T355" i="33"/>
  <c r="U355" i="33" s="1"/>
  <c r="T397" i="33"/>
  <c r="U397" i="33" s="1"/>
  <c r="T429" i="33"/>
  <c r="U429" i="33" s="1"/>
  <c r="T435" i="33"/>
  <c r="U435" i="33" s="1"/>
  <c r="T483" i="33"/>
  <c r="U483" i="33" s="1"/>
  <c r="T502" i="33"/>
  <c r="U502" i="33" s="1"/>
  <c r="T576" i="33"/>
  <c r="U576" i="33" s="1"/>
  <c r="T590" i="33"/>
  <c r="U590" i="33" s="1"/>
  <c r="T468" i="33"/>
  <c r="U468" i="33" s="1"/>
  <c r="T452" i="33"/>
  <c r="U452" i="33" s="1"/>
  <c r="T402" i="33"/>
  <c r="U402" i="33" s="1"/>
  <c r="T302" i="33"/>
  <c r="U302" i="33" s="1"/>
  <c r="T259" i="33"/>
  <c r="U259" i="33" s="1"/>
  <c r="T174" i="33"/>
  <c r="U174" i="33" s="1"/>
  <c r="T94" i="33"/>
  <c r="U94" i="33" s="1"/>
  <c r="T314" i="33"/>
  <c r="U314" i="33" s="1"/>
  <c r="Q4" i="53"/>
  <c r="R38" i="48"/>
  <c r="AI29" i="23"/>
  <c r="AI41" i="23"/>
  <c r="AI51" i="23"/>
  <c r="AI49" i="23"/>
  <c r="AI28" i="23"/>
  <c r="AI50" i="23"/>
  <c r="AI31" i="23"/>
  <c r="AI40" i="23"/>
  <c r="AI46" i="23"/>
  <c r="T391" i="23"/>
  <c r="AZ392" i="23" s="1"/>
  <c r="J388" i="23"/>
  <c r="AP389" i="23" s="1"/>
  <c r="X6" i="47"/>
  <c r="R5" i="47"/>
  <c r="AK5" i="43"/>
  <c r="AJ93" i="48"/>
  <c r="M93" i="48" s="1"/>
  <c r="AJ95" i="48"/>
  <c r="M95" i="48" s="1"/>
  <c r="AJ111" i="48"/>
  <c r="L111" i="48" s="1"/>
  <c r="AJ102" i="48"/>
  <c r="M102" i="48" s="1"/>
  <c r="AJ96" i="48"/>
  <c r="L96" i="48" s="1"/>
  <c r="AJ133" i="48"/>
  <c r="AK133" i="48" s="1"/>
  <c r="AJ92" i="48"/>
  <c r="AK92" i="48" s="1"/>
  <c r="AJ94" i="48"/>
  <c r="M94" i="48" s="1"/>
  <c r="AJ98" i="48"/>
  <c r="AK98" i="48" s="1"/>
  <c r="AJ141" i="48"/>
  <c r="M141" i="48" s="1"/>
  <c r="AJ113" i="48"/>
  <c r="M113" i="48" s="1"/>
  <c r="AH113" i="48" s="1"/>
  <c r="AJ120" i="48"/>
  <c r="M120" i="48" s="1"/>
  <c r="AJ100" i="48"/>
  <c r="AK100" i="48" s="1"/>
  <c r="AJ103" i="48"/>
  <c r="AK103" i="48" s="1"/>
  <c r="AJ139" i="48"/>
  <c r="AK139" i="48" s="1"/>
  <c r="AJ142" i="48"/>
  <c r="L142" i="48" s="1"/>
  <c r="AJ145" i="48"/>
  <c r="AK145" i="48" s="1"/>
  <c r="AJ101" i="48"/>
  <c r="L101" i="48" s="1"/>
  <c r="AJ104" i="48"/>
  <c r="L104" i="48" s="1"/>
  <c r="AJ105" i="48"/>
  <c r="L105" i="48" s="1"/>
  <c r="AJ107" i="48"/>
  <c r="AK107" i="48" s="1"/>
  <c r="AJ109" i="48"/>
  <c r="AK109" i="48" s="1"/>
  <c r="AJ115" i="48"/>
  <c r="AK115" i="48" s="1"/>
  <c r="AJ116" i="48"/>
  <c r="L116" i="48" s="1"/>
  <c r="AJ117" i="48"/>
  <c r="M117" i="48" s="1"/>
  <c r="AJ118" i="48"/>
  <c r="AK118" i="48" s="1"/>
  <c r="AJ119" i="48"/>
  <c r="AK119" i="48" s="1"/>
  <c r="AJ125" i="48"/>
  <c r="L125" i="48" s="1"/>
  <c r="AJ126" i="48"/>
  <c r="M126" i="48" s="1"/>
  <c r="AJ127" i="48"/>
  <c r="AK127" i="48" s="1"/>
  <c r="AJ128" i="48"/>
  <c r="M128" i="48" s="1"/>
  <c r="AJ129" i="48"/>
  <c r="M129" i="48" s="1"/>
  <c r="AJ130" i="48"/>
  <c r="M130" i="48" s="1"/>
  <c r="AJ134" i="48"/>
  <c r="AK134" i="48" s="1"/>
  <c r="AJ137" i="48"/>
  <c r="L137" i="48" s="1"/>
  <c r="AJ140" i="48"/>
  <c r="AK140" i="48" s="1"/>
  <c r="AJ144" i="48"/>
  <c r="AK144" i="48" s="1"/>
  <c r="AJ110" i="48"/>
  <c r="M110" i="48" s="1"/>
  <c r="AJ114" i="48"/>
  <c r="M114" i="48" s="1"/>
  <c r="AJ121" i="48"/>
  <c r="M121" i="48" s="1"/>
  <c r="AJ131" i="48"/>
  <c r="M131" i="48" s="1"/>
  <c r="AJ138" i="48"/>
  <c r="AK138" i="48" s="1"/>
  <c r="AJ143" i="48"/>
  <c r="M143" i="48" s="1"/>
  <c r="AJ123" i="48"/>
  <c r="M123" i="48" s="1"/>
  <c r="M24" i="48"/>
  <c r="M10" i="48"/>
  <c r="F25" i="48"/>
  <c r="U41" i="48"/>
  <c r="AE41" i="48" s="1"/>
  <c r="V34" i="46"/>
  <c r="P34" i="46"/>
  <c r="AK225" i="23"/>
  <c r="V225" i="23" s="1"/>
  <c r="AA72" i="23"/>
  <c r="AI72" i="23" s="1"/>
  <c r="AO2" i="27"/>
  <c r="N2" i="46"/>
  <c r="AM2" i="47"/>
  <c r="Q2" i="48"/>
  <c r="N2" i="53"/>
  <c r="H2" i="19"/>
  <c r="R2" i="45"/>
  <c r="AF365" i="23"/>
  <c r="AB5" i="47"/>
  <c r="S6" i="47"/>
  <c r="Y5" i="47"/>
  <c r="Z5" i="47"/>
  <c r="Z5" i="43"/>
  <c r="AD6" i="47"/>
  <c r="K5" i="47"/>
  <c r="Q3" i="48"/>
  <c r="AM3" i="47"/>
  <c r="N3" i="53"/>
  <c r="AO3" i="27"/>
  <c r="H3" i="19"/>
  <c r="N3" i="46"/>
  <c r="U103" i="46"/>
  <c r="U121" i="46"/>
  <c r="U98" i="46"/>
  <c r="U126" i="46"/>
  <c r="U125" i="46"/>
  <c r="U118" i="46"/>
  <c r="U139" i="46"/>
  <c r="U63" i="46"/>
  <c r="U85" i="46"/>
  <c r="U106" i="46"/>
  <c r="U127" i="46"/>
  <c r="U60" i="46"/>
  <c r="U92" i="46"/>
  <c r="BB3" i="48"/>
  <c r="A154" i="48"/>
  <c r="V32" i="46"/>
  <c r="S32" i="46"/>
  <c r="U135" i="46"/>
  <c r="U136" i="46"/>
  <c r="U120" i="46"/>
  <c r="U104" i="46"/>
  <c r="U88" i="46"/>
  <c r="U72" i="46"/>
  <c r="U56" i="46"/>
  <c r="U143" i="46"/>
  <c r="U128" i="46"/>
  <c r="U112" i="46"/>
  <c r="U96" i="46"/>
  <c r="U80" i="46"/>
  <c r="U64" i="46"/>
  <c r="U48" i="46"/>
  <c r="U133" i="46"/>
  <c r="V31" i="46"/>
  <c r="R67" i="46"/>
  <c r="R63" i="46"/>
  <c r="R59" i="46"/>
  <c r="R55" i="46"/>
  <c r="R51" i="46"/>
  <c r="R47" i="46"/>
  <c r="R142" i="46"/>
  <c r="R137" i="46"/>
  <c r="R134" i="46"/>
  <c r="R132" i="46"/>
  <c r="R130" i="46"/>
  <c r="R128" i="46"/>
  <c r="R126" i="46"/>
  <c r="R122" i="46"/>
  <c r="R120" i="46"/>
  <c r="R116" i="46"/>
  <c r="R112" i="46"/>
  <c r="R108" i="46"/>
  <c r="R104" i="46"/>
  <c r="R100" i="46"/>
  <c r="R98" i="46"/>
  <c r="R94" i="46"/>
  <c r="R90" i="46"/>
  <c r="R86" i="46"/>
  <c r="R84" i="46"/>
  <c r="R80" i="46"/>
  <c r="R76" i="46"/>
  <c r="R72" i="46"/>
  <c r="R70" i="46"/>
  <c r="R64" i="46"/>
  <c r="R56" i="46"/>
  <c r="R48" i="46"/>
  <c r="R140" i="46"/>
  <c r="R138" i="46"/>
  <c r="R136" i="46"/>
  <c r="R133" i="46"/>
  <c r="R131" i="46"/>
  <c r="R129" i="46"/>
  <c r="R127" i="46"/>
  <c r="R125" i="46"/>
  <c r="R123" i="46"/>
  <c r="R121" i="46"/>
  <c r="R119" i="46"/>
  <c r="R117" i="46"/>
  <c r="R115" i="46"/>
  <c r="R113" i="46"/>
  <c r="R111" i="46"/>
  <c r="R109" i="46"/>
  <c r="R107" i="46"/>
  <c r="R105" i="46"/>
  <c r="R103" i="46"/>
  <c r="R101" i="46"/>
  <c r="R99" i="46"/>
  <c r="R97" i="46"/>
  <c r="R95" i="46"/>
  <c r="R93" i="46"/>
  <c r="R91" i="46"/>
  <c r="R89" i="46"/>
  <c r="R87" i="46"/>
  <c r="R85" i="46"/>
  <c r="R83" i="46"/>
  <c r="R81" i="46"/>
  <c r="R79" i="46"/>
  <c r="R77" i="46"/>
  <c r="R75" i="46"/>
  <c r="R73" i="46"/>
  <c r="R71" i="46"/>
  <c r="R69" i="46"/>
  <c r="R66" i="46"/>
  <c r="R62" i="46"/>
  <c r="R58" i="46"/>
  <c r="R54" i="46"/>
  <c r="R50" i="46"/>
  <c r="R46" i="46"/>
  <c r="R139" i="46"/>
  <c r="R135" i="46"/>
  <c r="R65" i="46"/>
  <c r="R61" i="46"/>
  <c r="R57" i="46"/>
  <c r="R53" i="46"/>
  <c r="R49" i="46"/>
  <c r="R143" i="46"/>
  <c r="R141" i="46"/>
  <c r="R124" i="46"/>
  <c r="R118" i="46"/>
  <c r="R114" i="46"/>
  <c r="R110" i="46"/>
  <c r="R106" i="46"/>
  <c r="R102" i="46"/>
  <c r="R96" i="46"/>
  <c r="R92" i="46"/>
  <c r="R88" i="46"/>
  <c r="R82" i="46"/>
  <c r="R78" i="46"/>
  <c r="R74" i="46"/>
  <c r="R68" i="46"/>
  <c r="R60" i="46"/>
  <c r="R52" i="46"/>
  <c r="R44" i="46"/>
  <c r="L19" i="53"/>
  <c r="AK14" i="23"/>
  <c r="AB361" i="23" s="1"/>
  <c r="AJ361" i="23" s="1"/>
  <c r="AF358" i="23" s="1"/>
  <c r="AC3" i="44"/>
  <c r="R3" i="45"/>
  <c r="R602" i="33"/>
  <c r="O73" i="45"/>
  <c r="O75" i="45" s="1"/>
  <c r="K3" i="34"/>
  <c r="P6" i="47"/>
  <c r="AB6" i="47"/>
  <c r="K6" i="47"/>
  <c r="Y6" i="47"/>
  <c r="L5" i="47"/>
  <c r="W6" i="47"/>
  <c r="AE6" i="47"/>
  <c r="J3" i="43"/>
  <c r="F6" i="47"/>
  <c r="Z6" i="47"/>
  <c r="G1" i="47"/>
  <c r="I6" i="47"/>
  <c r="T5" i="47"/>
  <c r="O6" i="47"/>
  <c r="AC5" i="47"/>
  <c r="AG6" i="47"/>
  <c r="M6" i="47"/>
  <c r="R6" i="47"/>
  <c r="AF5" i="47"/>
  <c r="G6" i="47"/>
  <c r="W5" i="47"/>
  <c r="R76" i="48"/>
  <c r="AB52" i="48"/>
  <c r="AB49" i="48"/>
  <c r="Z34" i="48"/>
  <c r="Z36" i="48"/>
  <c r="AC8" i="43"/>
  <c r="AB5" i="43"/>
  <c r="Q5" i="43"/>
  <c r="AA5" i="43"/>
  <c r="I28" i="46"/>
  <c r="R32" i="46" s="1"/>
  <c r="A3" i="19"/>
  <c r="B3" i="48"/>
  <c r="L391" i="23"/>
  <c r="AR392" i="23" s="1"/>
  <c r="H391" i="23"/>
  <c r="AN392" i="23" s="1"/>
  <c r="N391" i="23"/>
  <c r="AT392" i="23" s="1"/>
  <c r="R391" i="23"/>
  <c r="AX392" i="23" s="1"/>
  <c r="X1" i="23"/>
  <c r="J2" i="49"/>
  <c r="R2" i="52"/>
  <c r="AA200" i="23"/>
  <c r="AF309" i="23"/>
  <c r="AF348" i="23"/>
  <c r="P391" i="23"/>
  <c r="AV392" i="23" s="1"/>
  <c r="N388" i="23"/>
  <c r="AT389" i="23" s="1"/>
  <c r="J2" i="43"/>
  <c r="AA115" i="23"/>
  <c r="AI115" i="23" s="1"/>
  <c r="M160" i="23"/>
  <c r="AH4" i="47"/>
  <c r="V5" i="47"/>
  <c r="H5" i="47"/>
  <c r="S5" i="47"/>
  <c r="AA6" i="47"/>
  <c r="I5" i="47"/>
  <c r="F5" i="47"/>
  <c r="AG5" i="47"/>
  <c r="AA5" i="47"/>
  <c r="U5" i="47"/>
  <c r="P5" i="47"/>
  <c r="J5" i="47"/>
  <c r="V6" i="47"/>
  <c r="T6" i="47"/>
  <c r="L6" i="47"/>
  <c r="AF6" i="47"/>
  <c r="R51" i="48"/>
  <c r="W51" i="48" s="1"/>
  <c r="AA80" i="23"/>
  <c r="AI80" i="23" s="1"/>
  <c r="Z8" i="43"/>
  <c r="P8" i="43"/>
  <c r="AF5" i="43"/>
  <c r="V5" i="43"/>
  <c r="AG5" i="43"/>
  <c r="AC5" i="43"/>
  <c r="R5" i="43"/>
  <c r="I179" i="48"/>
  <c r="L178" i="48" s="1"/>
  <c r="AA76" i="23"/>
  <c r="AI76" i="23" s="1"/>
  <c r="AF317" i="23"/>
  <c r="V8" i="43"/>
  <c r="AK8" i="43"/>
  <c r="AA34" i="48"/>
  <c r="AC52" i="48"/>
  <c r="AB48" i="48"/>
  <c r="N5" i="47"/>
  <c r="AD5" i="47"/>
  <c r="Q5" i="47"/>
  <c r="O5" i="47"/>
  <c r="AE5" i="47"/>
  <c r="M5" i="47"/>
  <c r="G5" i="47"/>
  <c r="X5" i="47"/>
  <c r="J6" i="47"/>
  <c r="H6" i="47"/>
  <c r="U6" i="47"/>
  <c r="AC6" i="47"/>
  <c r="N6" i="47"/>
  <c r="Q6" i="47"/>
  <c r="W5" i="43"/>
  <c r="T5" i="43"/>
  <c r="X5" i="43"/>
  <c r="AF315" i="23"/>
  <c r="L8" i="43"/>
  <c r="K12" i="43"/>
  <c r="M12" i="43"/>
  <c r="AM7" i="43"/>
  <c r="AM5" i="43" s="1"/>
  <c r="AI8" i="43"/>
  <c r="AE8" i="43"/>
  <c r="AA8" i="43"/>
  <c r="W8" i="43"/>
  <c r="S8" i="43"/>
  <c r="O8" i="43"/>
  <c r="K8" i="43"/>
  <c r="AJ8" i="43"/>
  <c r="AD8" i="43"/>
  <c r="Y8" i="43"/>
  <c r="T8" i="43"/>
  <c r="N8" i="43"/>
  <c r="AL8" i="43"/>
  <c r="AF8" i="43"/>
  <c r="X8" i="43"/>
  <c r="Q8" i="43"/>
  <c r="AH8" i="43"/>
  <c r="AB8" i="43"/>
  <c r="U8" i="43"/>
  <c r="M8" i="43"/>
  <c r="P5" i="43"/>
  <c r="M5" i="43"/>
  <c r="L5" i="43"/>
  <c r="C3" i="43"/>
  <c r="C13" i="43" s="1"/>
  <c r="S5" i="43"/>
  <c r="AL5" i="43"/>
  <c r="AE5" i="43"/>
  <c r="AH5" i="43"/>
  <c r="K5" i="43"/>
  <c r="K6" i="43" s="1"/>
  <c r="N5" i="43"/>
  <c r="AD5" i="43"/>
  <c r="O5" i="43"/>
  <c r="AI5" i="43"/>
  <c r="U5" i="43"/>
  <c r="AJ5" i="43"/>
  <c r="Y5" i="43"/>
  <c r="AJ112" i="48"/>
  <c r="M112" i="48" s="1"/>
  <c r="R8" i="43"/>
  <c r="AG8" i="43"/>
  <c r="D25" i="52"/>
  <c r="B8" i="48"/>
  <c r="AJ124" i="48"/>
  <c r="M124" i="48" s="1"/>
  <c r="W15" i="23"/>
  <c r="R3" i="52"/>
  <c r="J3" i="49"/>
  <c r="AL3" i="50"/>
  <c r="E26" i="49"/>
  <c r="AJ108" i="48"/>
  <c r="M108" i="48" s="1"/>
  <c r="N31" i="53"/>
  <c r="L31" i="53" s="1"/>
  <c r="AJ135" i="48"/>
  <c r="M135" i="48" s="1"/>
  <c r="AJ132" i="48"/>
  <c r="M132" i="48" s="1"/>
  <c r="AL2" i="50"/>
  <c r="AC2" i="44"/>
  <c r="K2" i="34"/>
  <c r="L388" i="23"/>
  <c r="H388" i="23"/>
  <c r="F388" i="23"/>
  <c r="P388" i="23"/>
  <c r="O73" i="52"/>
  <c r="O75" i="52" s="1"/>
  <c r="AH35" i="50"/>
  <c r="AJ36" i="50"/>
  <c r="Q201" i="23" s="1"/>
  <c r="AI64" i="50"/>
  <c r="BR65" i="50" s="1"/>
  <c r="AH65" i="50"/>
  <c r="AJ16" i="50"/>
  <c r="I201" i="23" s="1"/>
  <c r="AI15" i="50"/>
  <c r="AH30" i="50"/>
  <c r="AI29" i="50"/>
  <c r="BR30" i="50" s="1"/>
  <c r="AJ32" i="50" s="1"/>
  <c r="O204" i="23" s="1"/>
  <c r="AI25" i="50"/>
  <c r="AH50" i="50"/>
  <c r="AI49" i="50"/>
  <c r="BR50" i="50" s="1"/>
  <c r="AJ26" i="50"/>
  <c r="M201" i="23" s="1"/>
  <c r="M200" i="23" s="1"/>
  <c r="AH45" i="50"/>
  <c r="AJ46" i="50"/>
  <c r="U201" i="23" s="1"/>
  <c r="AI54" i="50"/>
  <c r="BR55" i="50" s="1"/>
  <c r="AH55" i="50"/>
  <c r="AJ11" i="50"/>
  <c r="G201" i="23" s="1"/>
  <c r="AH10" i="50"/>
  <c r="AH40" i="50"/>
  <c r="AI39" i="50"/>
  <c r="BR40" i="50" s="1"/>
  <c r="O6" i="43" l="1"/>
  <c r="V6" i="43"/>
  <c r="AJ6" i="43"/>
  <c r="AC6" i="43"/>
  <c r="U212" i="33"/>
  <c r="U253" i="33"/>
  <c r="U81" i="33"/>
  <c r="U197" i="33"/>
  <c r="U168" i="33"/>
  <c r="U151" i="33"/>
  <c r="U272" i="33"/>
  <c r="U271" i="33"/>
  <c r="N24" i="48"/>
  <c r="X135" i="46"/>
  <c r="X115" i="46"/>
  <c r="X99" i="46"/>
  <c r="X59" i="46"/>
  <c r="X142" i="46"/>
  <c r="X101" i="46"/>
  <c r="X51" i="46"/>
  <c r="X110" i="46"/>
  <c r="X64" i="46"/>
  <c r="X120" i="46"/>
  <c r="X139" i="46"/>
  <c r="X69" i="46"/>
  <c r="X90" i="46"/>
  <c r="X76" i="46"/>
  <c r="X56" i="46"/>
  <c r="X97" i="46"/>
  <c r="X94" i="46"/>
  <c r="X129" i="46"/>
  <c r="X128" i="46"/>
  <c r="X52" i="46"/>
  <c r="X58" i="46"/>
  <c r="W58" i="48"/>
  <c r="D58" i="48" s="1"/>
  <c r="BB414" i="23"/>
  <c r="BB415" i="23" s="1"/>
  <c r="BD414" i="23"/>
  <c r="BD415" i="23" s="1"/>
  <c r="AT414" i="23"/>
  <c r="AT415" i="23" s="1"/>
  <c r="BF414" i="23"/>
  <c r="BF415" i="23" s="1"/>
  <c r="BH414" i="23"/>
  <c r="BH415" i="23" s="1"/>
  <c r="AZ414" i="23"/>
  <c r="AZ415" i="23" s="1"/>
  <c r="AL417" i="23"/>
  <c r="BB417" i="23"/>
  <c r="BB418" i="23" s="1"/>
  <c r="AN417" i="23"/>
  <c r="AN418" i="23" s="1"/>
  <c r="AX414" i="23"/>
  <c r="AX415" i="23" s="1"/>
  <c r="AL414" i="23"/>
  <c r="F415" i="23"/>
  <c r="AP417" i="23"/>
  <c r="AP418" i="23" s="1"/>
  <c r="AT417" i="23"/>
  <c r="AT418" i="23" s="1"/>
  <c r="AX417" i="23"/>
  <c r="AX418" i="23" s="1"/>
  <c r="BD417" i="23"/>
  <c r="BD418" i="23" s="1"/>
  <c r="BF417" i="23"/>
  <c r="BF418" i="23" s="1"/>
  <c r="AV414" i="23"/>
  <c r="AV415" i="23" s="1"/>
  <c r="AN414" i="23"/>
  <c r="AN415" i="23" s="1"/>
  <c r="AZ417" i="23"/>
  <c r="AZ418" i="23" s="1"/>
  <c r="AP414" i="23"/>
  <c r="AP415" i="23" s="1"/>
  <c r="AR417" i="23"/>
  <c r="AR418" i="23" s="1"/>
  <c r="BH417" i="23"/>
  <c r="BH418" i="23" s="1"/>
  <c r="AV417" i="23"/>
  <c r="AV418" i="23" s="1"/>
  <c r="AR414" i="23"/>
  <c r="AR415" i="23" s="1"/>
  <c r="Y33" i="33"/>
  <c r="Y41" i="33"/>
  <c r="Y49" i="33"/>
  <c r="Y57" i="33"/>
  <c r="Y65" i="33"/>
  <c r="Y73" i="33"/>
  <c r="Y81" i="33"/>
  <c r="Y89" i="33"/>
  <c r="Y97" i="33"/>
  <c r="Y25" i="33"/>
  <c r="Y26" i="33"/>
  <c r="Y34" i="33"/>
  <c r="Y42" i="33"/>
  <c r="Y50" i="33"/>
  <c r="Y58" i="33"/>
  <c r="Y66" i="33"/>
  <c r="Y74" i="33"/>
  <c r="Y82" i="33"/>
  <c r="Y90" i="33"/>
  <c r="Y98" i="33"/>
  <c r="Y27" i="33"/>
  <c r="Y35" i="33"/>
  <c r="Y43" i="33"/>
  <c r="Y51" i="33"/>
  <c r="Y59" i="33"/>
  <c r="Y67" i="33"/>
  <c r="Y75" i="33"/>
  <c r="Y83" i="33"/>
  <c r="Y91" i="33"/>
  <c r="Y99" i="33"/>
  <c r="Y29" i="33"/>
  <c r="Y37" i="33"/>
  <c r="Y45" i="33"/>
  <c r="Y53" i="33"/>
  <c r="Y61" i="33"/>
  <c r="Y69" i="33"/>
  <c r="Y77" i="33"/>
  <c r="Y85" i="33"/>
  <c r="Y93" i="33"/>
  <c r="Y21" i="33"/>
  <c r="Y30" i="33"/>
  <c r="Y38" i="33"/>
  <c r="Y46" i="33"/>
  <c r="Y54" i="33"/>
  <c r="Y62" i="33"/>
  <c r="Y70" i="33"/>
  <c r="Y78" i="33"/>
  <c r="Y86" i="33"/>
  <c r="Y94" i="33"/>
  <c r="Y22" i="33"/>
  <c r="Y31" i="33"/>
  <c r="Y39" i="33"/>
  <c r="Y47" i="33"/>
  <c r="Y55" i="33"/>
  <c r="Y63" i="33"/>
  <c r="Y71" i="33"/>
  <c r="Y79" i="33"/>
  <c r="Y87" i="33"/>
  <c r="Y95" i="33"/>
  <c r="Y23" i="33"/>
  <c r="Y52" i="33"/>
  <c r="Y84" i="33"/>
  <c r="Y56" i="33"/>
  <c r="Y28" i="33"/>
  <c r="Y60" i="33"/>
  <c r="Y92" i="33"/>
  <c r="Y32" i="33"/>
  <c r="Y64" i="33"/>
  <c r="Y96" i="33"/>
  <c r="Y72" i="33"/>
  <c r="Y36" i="33"/>
  <c r="Y68" i="33"/>
  <c r="Y100" i="33"/>
  <c r="Y40" i="33"/>
  <c r="Y44" i="33"/>
  <c r="Y76" i="33"/>
  <c r="Y48" i="33"/>
  <c r="Y80" i="33"/>
  <c r="Y88" i="33"/>
  <c r="Y24" i="33"/>
  <c r="U243" i="33"/>
  <c r="U219" i="33"/>
  <c r="U237" i="33"/>
  <c r="U239" i="33"/>
  <c r="U229" i="33"/>
  <c r="U230" i="33"/>
  <c r="U240" i="33"/>
  <c r="U226" i="33"/>
  <c r="U231" i="33"/>
  <c r="U233" i="33"/>
  <c r="U238" i="33"/>
  <c r="U227" i="33"/>
  <c r="U217" i="33"/>
  <c r="U225" i="33"/>
  <c r="U222" i="33"/>
  <c r="U236" i="33"/>
  <c r="U218" i="33"/>
  <c r="U220" i="33"/>
  <c r="U232" i="33"/>
  <c r="U228" i="33"/>
  <c r="U223" i="33"/>
  <c r="U221" i="33"/>
  <c r="U216" i="33"/>
  <c r="U210" i="33"/>
  <c r="U186" i="33"/>
  <c r="U241" i="33"/>
  <c r="U235" i="33"/>
  <c r="U191" i="33"/>
  <c r="U202" i="33"/>
  <c r="U224" i="33"/>
  <c r="U242" i="33"/>
  <c r="U25" i="33"/>
  <c r="U76" i="33"/>
  <c r="U164" i="33"/>
  <c r="U154" i="33"/>
  <c r="U87" i="33"/>
  <c r="U24" i="33"/>
  <c r="U75" i="33"/>
  <c r="U43" i="33"/>
  <c r="U48" i="33"/>
  <c r="U166" i="33"/>
  <c r="U146" i="33"/>
  <c r="Y7" i="33"/>
  <c r="U178" i="33"/>
  <c r="N60" i="48"/>
  <c r="R60" i="48"/>
  <c r="E62" i="48" s="1"/>
  <c r="L185" i="48" s="1"/>
  <c r="Q200" i="23"/>
  <c r="B35" i="23"/>
  <c r="G22" i="54" s="1"/>
  <c r="H22" i="54" s="1"/>
  <c r="I22" i="54" s="1"/>
  <c r="G464" i="23"/>
  <c r="D42" i="46"/>
  <c r="Q61" i="46" s="1"/>
  <c r="M286" i="23"/>
  <c r="Y8" i="33"/>
  <c r="X50" i="46"/>
  <c r="N81" i="48"/>
  <c r="Y5" i="33"/>
  <c r="B9" i="54"/>
  <c r="B3" i="54"/>
  <c r="B8" i="54"/>
  <c r="W6" i="43"/>
  <c r="AD6" i="43"/>
  <c r="P6" i="43"/>
  <c r="AK6" i="43"/>
  <c r="L37" i="46"/>
  <c r="I37" i="46"/>
  <c r="C28" i="47"/>
  <c r="C19" i="47"/>
  <c r="C39" i="47"/>
  <c r="C63" i="47"/>
  <c r="C76" i="47"/>
  <c r="C56" i="47"/>
  <c r="C61" i="47"/>
  <c r="X67" i="46"/>
  <c r="X108" i="46"/>
  <c r="X91" i="46"/>
  <c r="X133" i="46"/>
  <c r="X84" i="46"/>
  <c r="X88" i="46"/>
  <c r="X92" i="46"/>
  <c r="X134" i="46"/>
  <c r="X109" i="46"/>
  <c r="X113" i="46"/>
  <c r="X130" i="46"/>
  <c r="X106" i="46"/>
  <c r="X107" i="46"/>
  <c r="X121" i="46"/>
  <c r="X57" i="46"/>
  <c r="X87" i="46"/>
  <c r="X85" i="46"/>
  <c r="X72" i="46"/>
  <c r="X73" i="46"/>
  <c r="X98" i="46"/>
  <c r="X124" i="46"/>
  <c r="X75" i="46"/>
  <c r="X117" i="46"/>
  <c r="X125" i="46"/>
  <c r="X143" i="46"/>
  <c r="X111" i="46"/>
  <c r="X47" i="46"/>
  <c r="X66" i="46"/>
  <c r="X112" i="46"/>
  <c r="X140" i="46"/>
  <c r="X105" i="46"/>
  <c r="X65" i="46"/>
  <c r="X103" i="46"/>
  <c r="X136" i="46"/>
  <c r="X45" i="46"/>
  <c r="X102" i="46"/>
  <c r="X96" i="46"/>
  <c r="X74" i="46"/>
  <c r="X53" i="46"/>
  <c r="X71" i="46"/>
  <c r="X126" i="46"/>
  <c r="X70" i="46"/>
  <c r="X95" i="46"/>
  <c r="X114" i="46"/>
  <c r="X137" i="46"/>
  <c r="X89" i="46"/>
  <c r="X86" i="46"/>
  <c r="X100" i="46"/>
  <c r="X104" i="46"/>
  <c r="X68" i="46"/>
  <c r="X127" i="46"/>
  <c r="X63" i="46"/>
  <c r="X93" i="46"/>
  <c r="X116" i="46"/>
  <c r="X122" i="46"/>
  <c r="X46" i="46"/>
  <c r="X49" i="46"/>
  <c r="X119" i="46"/>
  <c r="X77" i="46"/>
  <c r="X138" i="46"/>
  <c r="X118" i="46"/>
  <c r="Y40" i="46"/>
  <c r="X44" i="46"/>
  <c r="C85" i="47"/>
  <c r="C103" i="47"/>
  <c r="C102" i="47"/>
  <c r="C77" i="47"/>
  <c r="C35" i="47"/>
  <c r="C80" i="47"/>
  <c r="C72" i="47"/>
  <c r="C45" i="47"/>
  <c r="C47" i="47"/>
  <c r="C88" i="47"/>
  <c r="C105" i="47"/>
  <c r="C81" i="47"/>
  <c r="C20" i="47"/>
  <c r="C58" i="47"/>
  <c r="C34" i="47"/>
  <c r="C101" i="47"/>
  <c r="C70" i="47"/>
  <c r="C82" i="47"/>
  <c r="C49" i="47"/>
  <c r="C53" i="47"/>
  <c r="C25" i="47"/>
  <c r="C50" i="47"/>
  <c r="C74" i="47"/>
  <c r="C65" i="47"/>
  <c r="C31" i="47"/>
  <c r="C68" i="47"/>
  <c r="C10" i="47"/>
  <c r="C12" i="47"/>
  <c r="C93" i="47"/>
  <c r="C100" i="47"/>
  <c r="C33" i="47"/>
  <c r="C60" i="47"/>
  <c r="C41" i="47"/>
  <c r="C59" i="47"/>
  <c r="C44" i="47"/>
  <c r="C84" i="47"/>
  <c r="C79" i="47"/>
  <c r="C64" i="47"/>
  <c r="C73" i="47"/>
  <c r="F67" i="45"/>
  <c r="U165" i="33"/>
  <c r="U215" i="33"/>
  <c r="U199" i="33"/>
  <c r="U179" i="33"/>
  <c r="U170" i="33"/>
  <c r="U138" i="33"/>
  <c r="U160" i="33"/>
  <c r="U66" i="33"/>
  <c r="U20" i="33"/>
  <c r="U136" i="33"/>
  <c r="U172" i="33"/>
  <c r="U127" i="33"/>
  <c r="U156" i="33"/>
  <c r="U95" i="33"/>
  <c r="U117" i="33"/>
  <c r="U55" i="33"/>
  <c r="W67" i="48"/>
  <c r="D67" i="48" s="1"/>
  <c r="AI4" i="47"/>
  <c r="AI6" i="47" s="1"/>
  <c r="AM2" i="48"/>
  <c r="L30" i="48" s="1"/>
  <c r="X6" i="43"/>
  <c r="AE6" i="43"/>
  <c r="AL6" i="43"/>
  <c r="Q6" i="43"/>
  <c r="C29" i="47"/>
  <c r="C37" i="47"/>
  <c r="C96" i="47"/>
  <c r="C78" i="47"/>
  <c r="C62" i="47"/>
  <c r="C91" i="47"/>
  <c r="C55" i="47"/>
  <c r="C97" i="47"/>
  <c r="C54" i="47"/>
  <c r="C8" i="47"/>
  <c r="C94" i="47"/>
  <c r="C24" i="47"/>
  <c r="C66" i="47"/>
  <c r="C46" i="47"/>
  <c r="C99" i="47"/>
  <c r="C14" i="47"/>
  <c r="C15" i="47"/>
  <c r="C89" i="47"/>
  <c r="C16" i="47"/>
  <c r="C17" i="47"/>
  <c r="C106" i="47"/>
  <c r="C75" i="47"/>
  <c r="C30" i="47"/>
  <c r="C87" i="47"/>
  <c r="C67" i="47"/>
  <c r="C32" i="47"/>
  <c r="C104" i="47"/>
  <c r="C95" i="47"/>
  <c r="C36" i="47"/>
  <c r="C13" i="47"/>
  <c r="C43" i="47"/>
  <c r="C22" i="47"/>
  <c r="C27" i="47"/>
  <c r="C11" i="47"/>
  <c r="AJ392" i="23"/>
  <c r="AD392" i="23"/>
  <c r="C40" i="47"/>
  <c r="C90" i="47"/>
  <c r="C83" i="47"/>
  <c r="C38" i="47"/>
  <c r="C71" i="47"/>
  <c r="C92" i="47"/>
  <c r="C21" i="47"/>
  <c r="C98" i="47"/>
  <c r="C48" i="47"/>
  <c r="C57" i="47"/>
  <c r="C9" i="47"/>
  <c r="C23" i="47"/>
  <c r="C69" i="47"/>
  <c r="C7" i="47"/>
  <c r="C42" i="47"/>
  <c r="C52" i="47"/>
  <c r="C86" i="47"/>
  <c r="N17" i="48"/>
  <c r="N25" i="48" s="1"/>
  <c r="C51" i="47"/>
  <c r="C26" i="47"/>
  <c r="C18" i="47"/>
  <c r="R1" i="44"/>
  <c r="T16" i="43"/>
  <c r="G172" i="48"/>
  <c r="W71" i="48"/>
  <c r="D71" i="48" s="1"/>
  <c r="W68" i="48"/>
  <c r="D68" i="48" s="1"/>
  <c r="W73" i="48"/>
  <c r="D73" i="48" s="1"/>
  <c r="W72" i="48"/>
  <c r="D72" i="48" s="1"/>
  <c r="W64" i="48"/>
  <c r="D64" i="48" s="1"/>
  <c r="W70" i="48"/>
  <c r="D70" i="48" s="1"/>
  <c r="W66" i="48"/>
  <c r="D66" i="48" s="1"/>
  <c r="W65" i="48"/>
  <c r="D65" i="48" s="1"/>
  <c r="W55" i="48"/>
  <c r="D55" i="48" s="1"/>
  <c r="O74" i="48"/>
  <c r="W69" i="48"/>
  <c r="D69" i="48" s="1"/>
  <c r="S6" i="43"/>
  <c r="L6" i="43"/>
  <c r="AG6" i="43"/>
  <c r="Z6" i="43"/>
  <c r="U123" i="33"/>
  <c r="U137" i="33"/>
  <c r="U149" i="33"/>
  <c r="U128" i="33"/>
  <c r="U162" i="33"/>
  <c r="U121" i="33"/>
  <c r="Y9" i="33"/>
  <c r="U15" i="33"/>
  <c r="U74" i="33"/>
  <c r="U50" i="33"/>
  <c r="L1" i="52"/>
  <c r="L43" i="52"/>
  <c r="Y20" i="33"/>
  <c r="Q16" i="43"/>
  <c r="W14" i="23"/>
  <c r="M448" i="23" s="1"/>
  <c r="AA447" i="23" s="1"/>
  <c r="AI447" i="23" s="1"/>
  <c r="R47" i="48"/>
  <c r="O44" i="46"/>
  <c r="F77" i="48"/>
  <c r="AJ58" i="50"/>
  <c r="AT225" i="23" s="1"/>
  <c r="AJ57" i="50"/>
  <c r="Y204" i="23" s="1"/>
  <c r="AJ33" i="50"/>
  <c r="AF351" i="23"/>
  <c r="R48" i="48"/>
  <c r="W48" i="48" s="1"/>
  <c r="R50" i="48"/>
  <c r="W50" i="48" s="1"/>
  <c r="E50" i="48" s="1"/>
  <c r="R39" i="48"/>
  <c r="Q39" i="48" s="1"/>
  <c r="R41" i="48"/>
  <c r="Q41" i="48" s="1"/>
  <c r="D39" i="48"/>
  <c r="J62" i="48"/>
  <c r="K32" i="46"/>
  <c r="W126" i="46"/>
  <c r="W125" i="46"/>
  <c r="W127" i="46"/>
  <c r="W119" i="46"/>
  <c r="W120" i="46"/>
  <c r="W121" i="46"/>
  <c r="W118" i="46"/>
  <c r="W117" i="46"/>
  <c r="W114" i="46"/>
  <c r="W116" i="46"/>
  <c r="W115" i="46"/>
  <c r="B76" i="48"/>
  <c r="Q76" i="48"/>
  <c r="B66" i="45"/>
  <c r="L67" i="45"/>
  <c r="B67" i="45"/>
  <c r="AA266" i="23"/>
  <c r="AI266" i="23" s="1"/>
  <c r="J256" i="23" s="1"/>
  <c r="AJ34" i="23" s="1"/>
  <c r="B34" i="23" s="1"/>
  <c r="G21" i="54" s="1"/>
  <c r="H21" i="54" s="1"/>
  <c r="I21" i="54" s="1"/>
  <c r="W78" i="48"/>
  <c r="F78" i="48" s="1"/>
  <c r="W77" i="48"/>
  <c r="E77" i="48" s="1"/>
  <c r="F172" i="48"/>
  <c r="N58" i="48"/>
  <c r="D173" i="48" s="1"/>
  <c r="N54" i="48"/>
  <c r="N52" i="48"/>
  <c r="W52" i="48"/>
  <c r="D52" i="48" s="1"/>
  <c r="R49" i="48"/>
  <c r="R46" i="48"/>
  <c r="R43" i="48"/>
  <c r="Q43" i="48" s="1"/>
  <c r="N43" i="48" s="1"/>
  <c r="D43" i="48"/>
  <c r="AI16" i="43"/>
  <c r="M25" i="48"/>
  <c r="Q33" i="48"/>
  <c r="N33" i="48" s="1"/>
  <c r="U80" i="33"/>
  <c r="U13" i="33"/>
  <c r="Y10" i="33"/>
  <c r="U71" i="33"/>
  <c r="U57" i="33"/>
  <c r="U112" i="33"/>
  <c r="U98" i="33"/>
  <c r="U104" i="33"/>
  <c r="U120" i="33"/>
  <c r="AN7" i="43"/>
  <c r="AN8" i="43" s="1"/>
  <c r="V76" i="48"/>
  <c r="D38" i="48"/>
  <c r="Y16" i="33"/>
  <c r="Y11" i="33"/>
  <c r="Y13" i="33"/>
  <c r="U12" i="33"/>
  <c r="U79" i="33"/>
  <c r="U119" i="33"/>
  <c r="Y12" i="33"/>
  <c r="Y14" i="33"/>
  <c r="Y19" i="33"/>
  <c r="U91" i="33"/>
  <c r="U35" i="33"/>
  <c r="Y6" i="33"/>
  <c r="C13" i="48"/>
  <c r="B17" i="48" s="1"/>
  <c r="U56" i="33"/>
  <c r="U70" i="33"/>
  <c r="AM15" i="43"/>
  <c r="AM13" i="43" s="1"/>
  <c r="G1" i="53"/>
  <c r="AK16" i="43"/>
  <c r="Y16" i="43"/>
  <c r="I1" i="46"/>
  <c r="L100" i="48"/>
  <c r="AG16" i="43"/>
  <c r="AM8" i="43"/>
  <c r="E1" i="49"/>
  <c r="AG1" i="27"/>
  <c r="AK125" i="48"/>
  <c r="L133" i="48"/>
  <c r="L109" i="48"/>
  <c r="AK120" i="48"/>
  <c r="L93" i="48"/>
  <c r="AK93" i="48"/>
  <c r="L139" i="48"/>
  <c r="L110" i="48"/>
  <c r="AC1" i="47"/>
  <c r="R65" i="52"/>
  <c r="AH6" i="43"/>
  <c r="AA225" i="23"/>
  <c r="AA224" i="23"/>
  <c r="AI224" i="23" s="1"/>
  <c r="L98" i="48"/>
  <c r="L16" i="43"/>
  <c r="T6" i="43"/>
  <c r="AA6" i="43"/>
  <c r="M6" i="43"/>
  <c r="U111" i="33"/>
  <c r="R54" i="48"/>
  <c r="W54" i="48" s="1"/>
  <c r="L182" i="48" s="1"/>
  <c r="Y18" i="33"/>
  <c r="Y17" i="33"/>
  <c r="U103" i="33"/>
  <c r="U97" i="33"/>
  <c r="U92" i="33"/>
  <c r="Y15" i="33"/>
  <c r="U118" i="33"/>
  <c r="AK101" i="48"/>
  <c r="L117" i="48"/>
  <c r="L92" i="48"/>
  <c r="AE16" i="43"/>
  <c r="U16" i="43"/>
  <c r="R33" i="46"/>
  <c r="K33" i="46" s="1"/>
  <c r="W16" i="43"/>
  <c r="Z16" i="43"/>
  <c r="P16" i="43"/>
  <c r="R34" i="46"/>
  <c r="K34" i="46" s="1"/>
  <c r="M92" i="48"/>
  <c r="AH92" i="48" s="1"/>
  <c r="AC16" i="43"/>
  <c r="AA16" i="43"/>
  <c r="AH16" i="43"/>
  <c r="M16" i="43"/>
  <c r="AF16" i="43"/>
  <c r="F58" i="48"/>
  <c r="M101" i="48"/>
  <c r="AH101" i="48" s="1"/>
  <c r="M98" i="48"/>
  <c r="AH98" i="48" s="1"/>
  <c r="E1" i="19"/>
  <c r="M109" i="48"/>
  <c r="AH109" i="48" s="1"/>
  <c r="M145" i="48"/>
  <c r="AH145" i="48" s="1"/>
  <c r="L134" i="48"/>
  <c r="L127" i="48"/>
  <c r="M144" i="48"/>
  <c r="AH144" i="48" s="1"/>
  <c r="M134" i="48"/>
  <c r="AH134" i="48" s="1"/>
  <c r="AK131" i="48"/>
  <c r="L114" i="48"/>
  <c r="M125" i="48"/>
  <c r="AK114" i="48"/>
  <c r="M127" i="48"/>
  <c r="AH127" i="48" s="1"/>
  <c r="L138" i="48"/>
  <c r="AK105" i="48"/>
  <c r="M118" i="48"/>
  <c r="AH118" i="48" s="1"/>
  <c r="AK94" i="48"/>
  <c r="AK137" i="48"/>
  <c r="L123" i="48"/>
  <c r="AK142" i="48"/>
  <c r="AK123" i="48"/>
  <c r="L118" i="48"/>
  <c r="L144" i="48"/>
  <c r="L129" i="48"/>
  <c r="M138" i="48"/>
  <c r="AH138" i="48" s="1"/>
  <c r="M137" i="48"/>
  <c r="AH137" i="48" s="1"/>
  <c r="M107" i="48"/>
  <c r="M100" i="48"/>
  <c r="AH100" i="48" s="1"/>
  <c r="AH131" i="48"/>
  <c r="AK110" i="48"/>
  <c r="AH110" i="48" s="1"/>
  <c r="L131" i="48"/>
  <c r="L143" i="48"/>
  <c r="L95" i="48"/>
  <c r="L140" i="48"/>
  <c r="AK116" i="48"/>
  <c r="L145" i="48"/>
  <c r="L121" i="48"/>
  <c r="AK143" i="48"/>
  <c r="AH143" i="48" s="1"/>
  <c r="AK95" i="48"/>
  <c r="L103" i="48"/>
  <c r="L107" i="48"/>
  <c r="AK96" i="48"/>
  <c r="AK126" i="48"/>
  <c r="AK104" i="48"/>
  <c r="AK129" i="48"/>
  <c r="AH129" i="48" s="1"/>
  <c r="M140" i="48"/>
  <c r="AH140" i="48" s="1"/>
  <c r="M116" i="48"/>
  <c r="M105" i="48"/>
  <c r="AH105" i="48" s="1"/>
  <c r="M139" i="48"/>
  <c r="AH139" i="48" s="1"/>
  <c r="M96" i="48"/>
  <c r="AH96" i="48" s="1"/>
  <c r="L126" i="48"/>
  <c r="AK117" i="48"/>
  <c r="AH117" i="48" s="1"/>
  <c r="L120" i="48"/>
  <c r="L128" i="48"/>
  <c r="AK141" i="48"/>
  <c r="AH141" i="48" s="1"/>
  <c r="AH126" i="48"/>
  <c r="AK111" i="48"/>
  <c r="L119" i="48"/>
  <c r="AK130" i="48"/>
  <c r="AK102" i="48"/>
  <c r="AH102" i="48" s="1"/>
  <c r="AK128" i="48"/>
  <c r="AH128" i="48" s="1"/>
  <c r="L141" i="48"/>
  <c r="AH95" i="48"/>
  <c r="M104" i="48"/>
  <c r="AH104" i="48" s="1"/>
  <c r="M142" i="48"/>
  <c r="AH142" i="48" s="1"/>
  <c r="M103" i="48"/>
  <c r="AH103" i="48" s="1"/>
  <c r="L113" i="48"/>
  <c r="AK113" i="48"/>
  <c r="M133" i="48"/>
  <c r="AH133" i="48" s="1"/>
  <c r="AH94" i="48"/>
  <c r="AH120" i="48"/>
  <c r="L94" i="48"/>
  <c r="L130" i="48"/>
  <c r="AH93" i="48"/>
  <c r="L102" i="48"/>
  <c r="AK121" i="48"/>
  <c r="AH121" i="48" s="1"/>
  <c r="AH123" i="48"/>
  <c r="L115" i="48"/>
  <c r="M119" i="48"/>
  <c r="M115" i="48"/>
  <c r="AH115" i="48" s="1"/>
  <c r="M111" i="48"/>
  <c r="B26" i="45"/>
  <c r="G26" i="45"/>
  <c r="AH114" i="48"/>
  <c r="B77" i="48"/>
  <c r="U6" i="43"/>
  <c r="N6" i="43"/>
  <c r="F1" i="43"/>
  <c r="AI6" i="43"/>
  <c r="AB6" i="43"/>
  <c r="J1" i="48"/>
  <c r="G1" i="34"/>
  <c r="L1" i="45"/>
  <c r="L43" i="45"/>
  <c r="R30" i="46"/>
  <c r="K30" i="46" s="1"/>
  <c r="R31" i="46"/>
  <c r="K31" i="46" s="1"/>
  <c r="D9" i="53"/>
  <c r="I9" i="53" s="1"/>
  <c r="P323" i="23" s="1"/>
  <c r="AJ323" i="23" s="1"/>
  <c r="AI323" i="23" s="1"/>
  <c r="AB322" i="23" s="1"/>
  <c r="AI322" i="23" s="1"/>
  <c r="AF319" i="23" s="1"/>
  <c r="AD302" i="23" s="1"/>
  <c r="AA159" i="23"/>
  <c r="AI159" i="23" s="1"/>
  <c r="D25" i="45"/>
  <c r="D66" i="45" s="1"/>
  <c r="R68" i="45" s="1"/>
  <c r="F26" i="45"/>
  <c r="L26" i="45"/>
  <c r="F55" i="48"/>
  <c r="D169" i="48"/>
  <c r="AF6" i="43"/>
  <c r="Y6" i="43"/>
  <c r="D192" i="48"/>
  <c r="B51" i="48"/>
  <c r="AH5" i="47"/>
  <c r="AH107" i="47"/>
  <c r="AH6" i="47"/>
  <c r="B24" i="48"/>
  <c r="AF1" i="50"/>
  <c r="AA284" i="23"/>
  <c r="AI284" i="23" s="1"/>
  <c r="J282" i="23" s="1"/>
  <c r="AJ39" i="23" s="1"/>
  <c r="B39" i="23" s="1"/>
  <c r="I79" i="23"/>
  <c r="G200" i="23"/>
  <c r="AB16" i="43"/>
  <c r="R16" i="43"/>
  <c r="X16" i="43"/>
  <c r="N16" i="43"/>
  <c r="V16" i="43"/>
  <c r="AJ16" i="43"/>
  <c r="O16" i="43"/>
  <c r="Y13" i="43"/>
  <c r="P13" i="43"/>
  <c r="AL13" i="43"/>
  <c r="AL14" i="43" s="1"/>
  <c r="O13" i="43"/>
  <c r="N13" i="43"/>
  <c r="Q13" i="43"/>
  <c r="Q14" i="43" s="1"/>
  <c r="W13" i="43"/>
  <c r="AD16" i="43"/>
  <c r="L13" i="43"/>
  <c r="M13" i="43"/>
  <c r="AH13" i="43"/>
  <c r="V13" i="43"/>
  <c r="Z13" i="43"/>
  <c r="T13" i="43"/>
  <c r="S16" i="43"/>
  <c r="K16" i="43"/>
  <c r="AG13" i="43"/>
  <c r="AE13" i="43"/>
  <c r="AE14" i="43" s="1"/>
  <c r="AB13" i="43"/>
  <c r="AJ13" i="43"/>
  <c r="S13" i="43"/>
  <c r="AD13" i="43"/>
  <c r="X13" i="43"/>
  <c r="X14" i="43" s="1"/>
  <c r="AF13" i="43"/>
  <c r="K13" i="43"/>
  <c r="K14" i="43" s="1"/>
  <c r="U13" i="43"/>
  <c r="AI13" i="43"/>
  <c r="AL16" i="43"/>
  <c r="AC13" i="43"/>
  <c r="R13" i="43"/>
  <c r="AA13" i="43"/>
  <c r="AK13" i="43"/>
  <c r="R74" i="48"/>
  <c r="W74" i="48" s="1"/>
  <c r="L186" i="48" s="1"/>
  <c r="B10" i="48"/>
  <c r="F42" i="48"/>
  <c r="D189" i="48" s="1"/>
  <c r="AK124" i="48"/>
  <c r="L124" i="48"/>
  <c r="D66" i="52"/>
  <c r="R68" i="52" s="1"/>
  <c r="R26" i="52"/>
  <c r="L112" i="48"/>
  <c r="AK112" i="48"/>
  <c r="AH112" i="48" s="1"/>
  <c r="AM6" i="43"/>
  <c r="R6" i="43"/>
  <c r="G26" i="52"/>
  <c r="B26" i="52"/>
  <c r="F26" i="52"/>
  <c r="B25" i="52"/>
  <c r="L26" i="52"/>
  <c r="AX389" i="23"/>
  <c r="AR389" i="23"/>
  <c r="L135" i="48"/>
  <c r="AK135" i="48"/>
  <c r="AO7" i="43"/>
  <c r="F390" i="23"/>
  <c r="H390" i="23" s="1"/>
  <c r="J390" i="23" s="1"/>
  <c r="L390" i="23" s="1"/>
  <c r="N390" i="23" s="1"/>
  <c r="AL389" i="23"/>
  <c r="AV389" i="23"/>
  <c r="AN389" i="23"/>
  <c r="AN390" i="23" s="1"/>
  <c r="AN15" i="43"/>
  <c r="AO15" i="43" s="1"/>
  <c r="AO16" i="43" s="1"/>
  <c r="AH130" i="48"/>
  <c r="AZ389" i="23"/>
  <c r="L132" i="48"/>
  <c r="AK132" i="48"/>
  <c r="AK108" i="48"/>
  <c r="L108" i="48"/>
  <c r="AI50" i="50"/>
  <c r="AJ31" i="50"/>
  <c r="O201" i="23" s="1"/>
  <c r="O200" i="23" s="1"/>
  <c r="AI30" i="50"/>
  <c r="AI55" i="50"/>
  <c r="AJ56" i="50"/>
  <c r="Y201" i="23" s="1"/>
  <c r="AI65" i="50"/>
  <c r="AJ66" i="50"/>
  <c r="AC201" i="23" s="1"/>
  <c r="AI40" i="50"/>
  <c r="AJ41" i="50"/>
  <c r="S201" i="23" s="1"/>
  <c r="S200" i="23" s="1"/>
  <c r="U200" i="23"/>
  <c r="AJ51" i="50"/>
  <c r="W201" i="23" s="1"/>
  <c r="W200" i="23" s="1"/>
  <c r="AA187" i="23"/>
  <c r="AI187" i="23" s="1"/>
  <c r="I200" i="23"/>
  <c r="AD347" i="23" l="1"/>
  <c r="AI347" i="23" s="1"/>
  <c r="H415" i="23"/>
  <c r="J415" i="23" s="1"/>
  <c r="L415" i="23" s="1"/>
  <c r="N415" i="23" s="1"/>
  <c r="P415" i="23" s="1"/>
  <c r="R415" i="23" s="1"/>
  <c r="T415" i="23" s="1"/>
  <c r="V415" i="23" s="1"/>
  <c r="X415" i="23" s="1"/>
  <c r="Z415" i="23" s="1"/>
  <c r="AB415" i="23" s="1"/>
  <c r="F418" i="23" s="1"/>
  <c r="AJ414" i="23"/>
  <c r="AL415" i="23"/>
  <c r="AJ415" i="23" s="1"/>
  <c r="AD414" i="23"/>
  <c r="AJ417" i="23"/>
  <c r="AL418" i="23"/>
  <c r="AJ418" i="23" s="1"/>
  <c r="AD417" i="23"/>
  <c r="M30" i="48"/>
  <c r="Q84" i="46"/>
  <c r="Q80" i="46"/>
  <c r="Q49" i="46"/>
  <c r="L38" i="46"/>
  <c r="Q136" i="46"/>
  <c r="Q111" i="46"/>
  <c r="Q131" i="46"/>
  <c r="Q106" i="46"/>
  <c r="Q75" i="46"/>
  <c r="Q50" i="46"/>
  <c r="Q108" i="46"/>
  <c r="Q101" i="46"/>
  <c r="Q70" i="46"/>
  <c r="Q47" i="46"/>
  <c r="Q115" i="46"/>
  <c r="AI5" i="47"/>
  <c r="Q132" i="46"/>
  <c r="Q65" i="46"/>
  <c r="Q141" i="46"/>
  <c r="Q116" i="46"/>
  <c r="Q79" i="46"/>
  <c r="AI107" i="47"/>
  <c r="Q72" i="46"/>
  <c r="Q60" i="46"/>
  <c r="Q54" i="46"/>
  <c r="Q125" i="46"/>
  <c r="Q89" i="46"/>
  <c r="Q59" i="46"/>
  <c r="Q130" i="46"/>
  <c r="Q94" i="46"/>
  <c r="Q64" i="46"/>
  <c r="Q135" i="46"/>
  <c r="Q99" i="46"/>
  <c r="Q69" i="46"/>
  <c r="Q140" i="46"/>
  <c r="Q104" i="46"/>
  <c r="Q74" i="46"/>
  <c r="Q139" i="46"/>
  <c r="Q103" i="46"/>
  <c r="Q73" i="46"/>
  <c r="AJ4" i="47"/>
  <c r="H44" i="46" s="1"/>
  <c r="S44" i="46" s="1"/>
  <c r="Q114" i="46"/>
  <c r="Q102" i="46"/>
  <c r="Q126" i="46"/>
  <c r="Q48" i="46"/>
  <c r="Q113" i="46"/>
  <c r="Q83" i="46"/>
  <c r="Q53" i="46"/>
  <c r="Q118" i="46"/>
  <c r="Q88" i="46"/>
  <c r="Q58" i="46"/>
  <c r="Q123" i="46"/>
  <c r="Q93" i="46"/>
  <c r="Q63" i="46"/>
  <c r="Q128" i="46"/>
  <c r="Q98" i="46"/>
  <c r="Q68" i="46"/>
  <c r="Q127" i="46"/>
  <c r="Q97" i="46"/>
  <c r="Q67" i="46"/>
  <c r="Q44" i="46"/>
  <c r="Q66" i="46"/>
  <c r="Q90" i="46"/>
  <c r="Q137" i="46"/>
  <c r="Q107" i="46"/>
  <c r="Q77" i="46"/>
  <c r="Q142" i="46"/>
  <c r="Q112" i="46"/>
  <c r="Q82" i="46"/>
  <c r="Q46" i="46"/>
  <c r="Q117" i="46"/>
  <c r="Q87" i="46"/>
  <c r="Q51" i="46"/>
  <c r="Q122" i="46"/>
  <c r="Q92" i="46"/>
  <c r="Q56" i="46"/>
  <c r="Q121" i="46"/>
  <c r="Q91" i="46"/>
  <c r="Q55" i="46"/>
  <c r="AI302" i="23"/>
  <c r="Q78" i="46"/>
  <c r="Q138" i="46"/>
  <c r="Q96" i="46"/>
  <c r="Q120" i="46"/>
  <c r="Q143" i="46"/>
  <c r="Q119" i="46"/>
  <c r="Q95" i="46"/>
  <c r="Q71" i="46"/>
  <c r="Q45" i="46"/>
  <c r="Q124" i="46"/>
  <c r="Q100" i="46"/>
  <c r="Q76" i="46"/>
  <c r="Q52" i="46"/>
  <c r="Q129" i="46"/>
  <c r="Q105" i="46"/>
  <c r="Q81" i="46"/>
  <c r="Q57" i="46"/>
  <c r="Q134" i="46"/>
  <c r="Q110" i="46"/>
  <c r="Q86" i="46"/>
  <c r="Q62" i="46"/>
  <c r="Q133" i="46"/>
  <c r="Q109" i="46"/>
  <c r="Q85" i="46"/>
  <c r="I50" i="48"/>
  <c r="AJ72" i="48"/>
  <c r="AK72" i="48" s="1"/>
  <c r="AN5" i="43"/>
  <c r="AN6" i="43" s="1"/>
  <c r="E78" i="48"/>
  <c r="AJ71" i="48"/>
  <c r="M71" i="48" s="1"/>
  <c r="L188" i="48"/>
  <c r="M14" i="43"/>
  <c r="AM14" i="43"/>
  <c r="Y14" i="43"/>
  <c r="R14" i="43"/>
  <c r="AF14" i="43"/>
  <c r="AJ67" i="48"/>
  <c r="M67" i="48" s="1"/>
  <c r="AJ73" i="48"/>
  <c r="M73" i="48" s="1"/>
  <c r="Y82" i="46"/>
  <c r="Y79" i="46"/>
  <c r="Y59" i="46"/>
  <c r="Y44" i="46"/>
  <c r="Y136" i="46"/>
  <c r="Y62" i="46"/>
  <c r="Y81" i="46"/>
  <c r="Y78" i="46"/>
  <c r="Y97" i="46"/>
  <c r="Y117" i="46"/>
  <c r="Y118" i="46"/>
  <c r="Y108" i="46"/>
  <c r="Y102" i="46"/>
  <c r="Y143" i="46"/>
  <c r="Y60" i="46"/>
  <c r="Y134" i="46"/>
  <c r="Y105" i="46"/>
  <c r="Y122" i="46"/>
  <c r="Y109" i="46"/>
  <c r="Y121" i="46"/>
  <c r="Z40" i="46"/>
  <c r="Y130" i="46"/>
  <c r="Y46" i="46"/>
  <c r="Y80" i="46"/>
  <c r="Y63" i="46"/>
  <c r="Y133" i="46"/>
  <c r="Y52" i="46"/>
  <c r="Y142" i="46"/>
  <c r="Y140" i="46"/>
  <c r="Y83" i="46"/>
  <c r="Y92" i="46"/>
  <c r="Y126" i="46"/>
  <c r="Y107" i="46"/>
  <c r="Y101" i="46"/>
  <c r="Y72" i="46"/>
  <c r="Y65" i="46"/>
  <c r="Y74" i="46"/>
  <c r="Y67" i="46"/>
  <c r="Y96" i="46"/>
  <c r="Y47" i="46"/>
  <c r="Y141" i="46"/>
  <c r="Y51" i="46"/>
  <c r="Y68" i="46"/>
  <c r="Y135" i="46"/>
  <c r="Y93" i="46"/>
  <c r="Y61" i="46"/>
  <c r="Y99" i="46"/>
  <c r="Y113" i="46"/>
  <c r="Y131" i="46"/>
  <c r="Y106" i="46"/>
  <c r="Y104" i="46"/>
  <c r="Y120" i="46"/>
  <c r="Y77" i="46"/>
  <c r="Y76" i="46"/>
  <c r="Y138" i="46"/>
  <c r="Y71" i="46"/>
  <c r="Y124" i="46"/>
  <c r="Y54" i="46"/>
  <c r="Y95" i="46"/>
  <c r="Y110" i="46"/>
  <c r="Y112" i="46"/>
  <c r="Y66" i="46"/>
  <c r="Y75" i="46"/>
  <c r="Y73" i="46"/>
  <c r="Y100" i="46"/>
  <c r="Y58" i="46"/>
  <c r="Y91" i="46"/>
  <c r="Y119" i="46"/>
  <c r="Y128" i="46"/>
  <c r="Y98" i="46"/>
  <c r="Y94" i="46"/>
  <c r="Y116" i="46"/>
  <c r="Y49" i="46"/>
  <c r="Y114" i="46"/>
  <c r="Y53" i="46"/>
  <c r="Y125" i="46"/>
  <c r="Y69" i="46"/>
  <c r="Y70" i="46"/>
  <c r="Y56" i="46"/>
  <c r="Y129" i="46"/>
  <c r="Y50" i="46"/>
  <c r="Y139" i="46"/>
  <c r="Y48" i="46"/>
  <c r="Y55" i="46"/>
  <c r="Y123" i="46"/>
  <c r="Y115" i="46"/>
  <c r="Y132" i="46"/>
  <c r="Y103" i="46"/>
  <c r="Y57" i="46"/>
  <c r="Y45" i="46"/>
  <c r="Y127" i="46"/>
  <c r="Y64" i="46"/>
  <c r="Y111" i="46"/>
  <c r="Y137" i="46"/>
  <c r="Z3" i="33"/>
  <c r="Z22" i="33" s="1"/>
  <c r="AA3" i="33"/>
  <c r="AA36" i="33" s="1"/>
  <c r="S14" i="43"/>
  <c r="AG14" i="43"/>
  <c r="Z14" i="43"/>
  <c r="L14" i="43"/>
  <c r="N14" i="43"/>
  <c r="U14" i="43"/>
  <c r="AI14" i="43"/>
  <c r="AB14" i="43"/>
  <c r="Y200" i="23"/>
  <c r="AJ68" i="48"/>
  <c r="L68" i="48" s="1"/>
  <c r="AM16" i="43"/>
  <c r="AE3" i="33"/>
  <c r="AE23" i="33" s="1"/>
  <c r="AJ389" i="23"/>
  <c r="AD389" i="23"/>
  <c r="AJ70" i="48"/>
  <c r="L70" i="48" s="1"/>
  <c r="AJ69" i="48"/>
  <c r="M69" i="48" s="1"/>
  <c r="AJ14" i="43"/>
  <c r="BU9" i="48"/>
  <c r="V14" i="43"/>
  <c r="AC14" i="43"/>
  <c r="O14" i="43"/>
  <c r="AH3" i="33"/>
  <c r="AB3" i="33"/>
  <c r="M473" i="23"/>
  <c r="AA472" i="23" s="1"/>
  <c r="AI472" i="23" s="1"/>
  <c r="R80" i="48" s="1"/>
  <c r="W80" i="48" s="1"/>
  <c r="L191" i="48" s="1"/>
  <c r="R59" i="48"/>
  <c r="W59" i="48" s="1"/>
  <c r="L183" i="48" s="1"/>
  <c r="BU8" i="48"/>
  <c r="BU11" i="48"/>
  <c r="W74" i="46"/>
  <c r="I78" i="48"/>
  <c r="Q50" i="48"/>
  <c r="N50" i="48" s="1"/>
  <c r="AH107" i="48"/>
  <c r="Q48" i="48"/>
  <c r="N48" i="48" s="1"/>
  <c r="AO225" i="23"/>
  <c r="O8" i="50"/>
  <c r="J8" i="50"/>
  <c r="AA202" i="23" s="1"/>
  <c r="J219" i="23"/>
  <c r="AJ31" i="23" s="1"/>
  <c r="B31" i="23" s="1"/>
  <c r="V44" i="46"/>
  <c r="AY8" i="48"/>
  <c r="W43" i="48"/>
  <c r="E43" i="48" s="1"/>
  <c r="N41" i="48"/>
  <c r="W41" i="48"/>
  <c r="F41" i="48" s="1"/>
  <c r="N39" i="48"/>
  <c r="W39" i="48"/>
  <c r="E39" i="48" s="1"/>
  <c r="W66" i="46"/>
  <c r="Y87" i="46"/>
  <c r="Y89" i="46"/>
  <c r="Z92" i="46"/>
  <c r="Z91" i="46"/>
  <c r="W76" i="46"/>
  <c r="W72" i="46"/>
  <c r="Y88" i="46"/>
  <c r="W71" i="46"/>
  <c r="X82" i="46"/>
  <c r="R40" i="48"/>
  <c r="Q40" i="48" s="1"/>
  <c r="N40" i="48" s="1"/>
  <c r="W40" i="48"/>
  <c r="W56" i="46"/>
  <c r="W70" i="46"/>
  <c r="X79" i="46"/>
  <c r="W77" i="46"/>
  <c r="X78" i="46"/>
  <c r="X81" i="46"/>
  <c r="W73" i="46"/>
  <c r="Y86" i="46"/>
  <c r="W67" i="46"/>
  <c r="W75" i="46"/>
  <c r="Y84" i="46"/>
  <c r="X83" i="46"/>
  <c r="Y90" i="46"/>
  <c r="Z93" i="46"/>
  <c r="X80" i="46"/>
  <c r="F54" i="48"/>
  <c r="D182" i="48" s="1"/>
  <c r="W55" i="46"/>
  <c r="B25" i="48"/>
  <c r="Y85" i="46"/>
  <c r="R32" i="48"/>
  <c r="L175" i="48" s="1"/>
  <c r="F38" i="48"/>
  <c r="D188" i="48" s="1"/>
  <c r="F39" i="48"/>
  <c r="H45" i="46"/>
  <c r="S45" i="46" s="1"/>
  <c r="W69" i="46"/>
  <c r="W49" i="48"/>
  <c r="Q49" i="48"/>
  <c r="N49" i="48" s="1"/>
  <c r="AC3" i="33"/>
  <c r="AC51" i="33" s="1"/>
  <c r="AD3" i="33"/>
  <c r="AI3" i="33"/>
  <c r="AF3" i="33"/>
  <c r="AF41" i="33" s="1"/>
  <c r="V45" i="46"/>
  <c r="AY9" i="48"/>
  <c r="BU7" i="48"/>
  <c r="BU10" i="48"/>
  <c r="F50" i="48" s="1"/>
  <c r="AG3" i="33"/>
  <c r="AK14" i="43"/>
  <c r="L67" i="52"/>
  <c r="F67" i="52"/>
  <c r="B66" i="52"/>
  <c r="B67" i="52"/>
  <c r="G67" i="52"/>
  <c r="AO13" i="43"/>
  <c r="AO14" i="43" s="1"/>
  <c r="N125" i="48"/>
  <c r="D191" i="48" s="1"/>
  <c r="I73" i="52"/>
  <c r="I75" i="52" s="1"/>
  <c r="N73" i="52"/>
  <c r="N75" i="52" s="1"/>
  <c r="H73" i="52"/>
  <c r="H75" i="52" s="1"/>
  <c r="M73" i="52"/>
  <c r="M75" i="52" s="1"/>
  <c r="G73" i="52"/>
  <c r="G75" i="52" s="1"/>
  <c r="L73" i="52"/>
  <c r="L75" i="52" s="1"/>
  <c r="F73" i="52"/>
  <c r="F75" i="52" s="1"/>
  <c r="K73" i="52"/>
  <c r="K75" i="52" s="1"/>
  <c r="J73" i="52"/>
  <c r="J75" i="52" s="1"/>
  <c r="R26" i="45"/>
  <c r="E32" i="45" s="1"/>
  <c r="H73" i="45"/>
  <c r="H75" i="45" s="1"/>
  <c r="I73" i="45"/>
  <c r="I75" i="45" s="1"/>
  <c r="L73" i="45"/>
  <c r="L75" i="45" s="1"/>
  <c r="N73" i="45"/>
  <c r="N75" i="45" s="1"/>
  <c r="G73" i="45"/>
  <c r="G75" i="45" s="1"/>
  <c r="F73" i="45"/>
  <c r="F75" i="45" s="1"/>
  <c r="M73" i="45"/>
  <c r="M75" i="45" s="1"/>
  <c r="J73" i="45"/>
  <c r="J75" i="45" s="1"/>
  <c r="K73" i="45"/>
  <c r="K75" i="45" s="1"/>
  <c r="AH125" i="48"/>
  <c r="R27" i="52"/>
  <c r="F32" i="52" s="1"/>
  <c r="F34" i="52" s="1"/>
  <c r="AH116" i="48"/>
  <c r="AH111" i="48"/>
  <c r="AH119" i="48"/>
  <c r="N136" i="48"/>
  <c r="W33" i="48"/>
  <c r="D33" i="48" s="1"/>
  <c r="F33" i="48"/>
  <c r="AD14" i="43"/>
  <c r="P14" i="43"/>
  <c r="W14" i="43"/>
  <c r="AH135" i="48"/>
  <c r="AE6" i="33"/>
  <c r="AE11" i="33"/>
  <c r="AE19" i="33"/>
  <c r="AE18" i="33"/>
  <c r="AE46" i="33"/>
  <c r="AE28" i="33"/>
  <c r="AE32" i="33"/>
  <c r="AE31" i="33"/>
  <c r="AE25" i="33"/>
  <c r="AE12" i="33"/>
  <c r="AE7" i="33"/>
  <c r="AE49" i="33"/>
  <c r="AE45" i="33"/>
  <c r="AE48" i="33"/>
  <c r="AE40" i="33"/>
  <c r="AH19" i="33"/>
  <c r="AH42" i="33"/>
  <c r="AH18" i="33"/>
  <c r="AH5" i="33"/>
  <c r="AH29" i="33"/>
  <c r="AH34" i="33"/>
  <c r="AH40" i="33"/>
  <c r="AH10" i="33"/>
  <c r="AH51" i="33"/>
  <c r="AH30" i="33"/>
  <c r="AH14" i="33"/>
  <c r="AH50" i="33"/>
  <c r="AH24" i="33"/>
  <c r="AH8" i="33"/>
  <c r="AH48" i="33"/>
  <c r="AH11" i="33"/>
  <c r="AH6" i="33"/>
  <c r="AH45" i="33"/>
  <c r="AH43" i="33"/>
  <c r="AH21" i="33"/>
  <c r="AH36" i="33"/>
  <c r="AH44" i="33"/>
  <c r="AH17" i="33"/>
  <c r="AH13" i="33"/>
  <c r="AH35" i="33"/>
  <c r="AH49" i="33"/>
  <c r="AH9" i="33"/>
  <c r="AH23" i="33"/>
  <c r="AH27" i="33"/>
  <c r="AH26" i="33"/>
  <c r="AH7" i="33"/>
  <c r="AH20" i="33"/>
  <c r="AD7" i="33"/>
  <c r="AD10" i="33"/>
  <c r="AD46" i="33"/>
  <c r="AD37" i="33"/>
  <c r="AD24" i="33"/>
  <c r="AD41" i="33"/>
  <c r="AD23" i="33"/>
  <c r="AD39" i="33"/>
  <c r="AD38" i="33"/>
  <c r="AD8" i="33"/>
  <c r="AD25" i="33"/>
  <c r="AD44" i="33"/>
  <c r="AD17" i="33"/>
  <c r="AD20" i="33"/>
  <c r="AD14" i="33"/>
  <c r="AD43" i="33"/>
  <c r="AD26" i="33"/>
  <c r="AD6" i="33"/>
  <c r="AD40" i="33"/>
  <c r="AD11" i="33"/>
  <c r="AD18" i="33"/>
  <c r="AD12" i="33"/>
  <c r="AD42" i="33"/>
  <c r="AD45" i="33"/>
  <c r="AD34" i="33"/>
  <c r="AD13" i="33"/>
  <c r="AD36" i="33"/>
  <c r="AD31" i="33"/>
  <c r="AD49" i="33"/>
  <c r="AD48" i="33"/>
  <c r="AD19" i="33"/>
  <c r="AD50" i="33"/>
  <c r="AD30" i="33"/>
  <c r="AD22" i="33"/>
  <c r="AF31" i="33"/>
  <c r="AF27" i="33"/>
  <c r="AF46" i="33"/>
  <c r="AF39" i="33"/>
  <c r="AF17" i="33"/>
  <c r="AF13" i="33"/>
  <c r="AF6" i="33"/>
  <c r="AF35" i="33"/>
  <c r="N76" i="48"/>
  <c r="W76" i="48"/>
  <c r="D76" i="48" s="1"/>
  <c r="E48" i="48"/>
  <c r="D51" i="48"/>
  <c r="AH124" i="48"/>
  <c r="N133" i="48"/>
  <c r="AH14" i="43"/>
  <c r="R79" i="48"/>
  <c r="W79" i="48" s="1"/>
  <c r="E32" i="52"/>
  <c r="O45" i="46"/>
  <c r="O46" i="46" s="1"/>
  <c r="J78" i="48"/>
  <c r="AA14" i="43"/>
  <c r="E73" i="45"/>
  <c r="E75" i="45" s="1"/>
  <c r="D73" i="45"/>
  <c r="W46" i="48"/>
  <c r="Q46" i="48"/>
  <c r="N46" i="48" s="1"/>
  <c r="D73" i="52"/>
  <c r="E73" i="52"/>
  <c r="E75" i="52" s="1"/>
  <c r="T14" i="43"/>
  <c r="D74" i="48"/>
  <c r="H48" i="46"/>
  <c r="P390" i="23"/>
  <c r="R390" i="23" s="1"/>
  <c r="T390" i="23" s="1"/>
  <c r="V390" i="23" s="1"/>
  <c r="X390" i="23" s="1"/>
  <c r="AT390" i="23"/>
  <c r="AH108" i="48"/>
  <c r="AH132" i="48"/>
  <c r="N130" i="48"/>
  <c r="AL390" i="23"/>
  <c r="H122" i="46"/>
  <c r="H131" i="46"/>
  <c r="AO8" i="43"/>
  <c r="AO5" i="43"/>
  <c r="AO6" i="43" s="1"/>
  <c r="H94" i="46"/>
  <c r="H107" i="46"/>
  <c r="H117" i="46"/>
  <c r="AR390" i="23"/>
  <c r="H140" i="46"/>
  <c r="J177" i="23"/>
  <c r="AJ29" i="23" s="1"/>
  <c r="B29" i="23" s="1"/>
  <c r="AP390" i="23"/>
  <c r="H138" i="46"/>
  <c r="H113" i="46"/>
  <c r="H135" i="46"/>
  <c r="H104" i="46"/>
  <c r="AN16" i="43"/>
  <c r="AN13" i="43"/>
  <c r="AN14" i="43" s="1"/>
  <c r="F8" i="50"/>
  <c r="AC200" i="23"/>
  <c r="X78" i="48"/>
  <c r="X146" i="48"/>
  <c r="X50" i="48"/>
  <c r="AF414" i="23" l="1"/>
  <c r="AI414" i="23" s="1"/>
  <c r="AD415" i="23"/>
  <c r="AE44" i="33"/>
  <c r="AE35" i="33"/>
  <c r="AE27" i="33"/>
  <c r="AE16" i="33"/>
  <c r="AE39" i="33"/>
  <c r="AE51" i="33"/>
  <c r="AE50" i="33"/>
  <c r="AE43" i="33"/>
  <c r="AA31" i="33"/>
  <c r="Z29" i="33"/>
  <c r="Z25" i="33"/>
  <c r="AC11" i="33"/>
  <c r="AC43" i="33"/>
  <c r="AC21" i="33"/>
  <c r="AA22" i="33"/>
  <c r="AA7" i="33"/>
  <c r="AE26" i="33"/>
  <c r="AA14" i="33"/>
  <c r="AA24" i="33"/>
  <c r="Z32" i="33"/>
  <c r="AA17" i="33"/>
  <c r="AA41" i="33"/>
  <c r="AA13" i="33"/>
  <c r="Z15" i="33"/>
  <c r="AA6" i="33"/>
  <c r="AA11" i="33"/>
  <c r="Z26" i="33"/>
  <c r="AA35" i="33"/>
  <c r="AA30" i="33"/>
  <c r="Z8" i="33"/>
  <c r="AA42" i="33"/>
  <c r="AA25" i="33"/>
  <c r="AA39" i="33"/>
  <c r="AD409" i="23"/>
  <c r="H427" i="23"/>
  <c r="J406" i="23"/>
  <c r="H418" i="23"/>
  <c r="J418" i="23" s="1"/>
  <c r="L418" i="23" s="1"/>
  <c r="N418" i="23" s="1"/>
  <c r="P418" i="23" s="1"/>
  <c r="R418" i="23" s="1"/>
  <c r="T418" i="23" s="1"/>
  <c r="V418" i="23" s="1"/>
  <c r="X418" i="23" s="1"/>
  <c r="Z418" i="23" s="1"/>
  <c r="AB418" i="23" s="1"/>
  <c r="AF19" i="33"/>
  <c r="AF5" i="33"/>
  <c r="AF37" i="33"/>
  <c r="AF9" i="33"/>
  <c r="AF40" i="33"/>
  <c r="AF45" i="33"/>
  <c r="AF49" i="33"/>
  <c r="AF11" i="33"/>
  <c r="AF12" i="33"/>
  <c r="AF22" i="33"/>
  <c r="AF32" i="33"/>
  <c r="AF36" i="33"/>
  <c r="AF44" i="33"/>
  <c r="AF21" i="33"/>
  <c r="AF20" i="33"/>
  <c r="AF26" i="33"/>
  <c r="AF10" i="33"/>
  <c r="AF15" i="33"/>
  <c r="AF14" i="33"/>
  <c r="AF8" i="33"/>
  <c r="AF30" i="33"/>
  <c r="AF50" i="33"/>
  <c r="AF34" i="33"/>
  <c r="AF25" i="33"/>
  <c r="AF42" i="33"/>
  <c r="AF33" i="33"/>
  <c r="AF59" i="33"/>
  <c r="AF63" i="33"/>
  <c r="AF54" i="33"/>
  <c r="AF58" i="33"/>
  <c r="AF62" i="33"/>
  <c r="AF66" i="33"/>
  <c r="AF70" i="33"/>
  <c r="AF74" i="33"/>
  <c r="AF78" i="33"/>
  <c r="AF82" i="33"/>
  <c r="AF86" i="33"/>
  <c r="AF90" i="33"/>
  <c r="AF94" i="33"/>
  <c r="AF98" i="33"/>
  <c r="AF55" i="33"/>
  <c r="AF67" i="33"/>
  <c r="AF69" i="33"/>
  <c r="AF52" i="33"/>
  <c r="AF56" i="33"/>
  <c r="AF60" i="33"/>
  <c r="AF64" i="33"/>
  <c r="AF68" i="33"/>
  <c r="AF72" i="33"/>
  <c r="AF76" i="33"/>
  <c r="AF80" i="33"/>
  <c r="AF84" i="33"/>
  <c r="AF88" i="33"/>
  <c r="AF92" i="33"/>
  <c r="AF96" i="33"/>
  <c r="AF100" i="33"/>
  <c r="AF53" i="33"/>
  <c r="AF57" i="33"/>
  <c r="AF61" i="33"/>
  <c r="AF65" i="33"/>
  <c r="AF71" i="33"/>
  <c r="AF87" i="33"/>
  <c r="AF81" i="33"/>
  <c r="AF97" i="33"/>
  <c r="AF75" i="33"/>
  <c r="AF91" i="33"/>
  <c r="AF85" i="33"/>
  <c r="AF79" i="33"/>
  <c r="AF95" i="33"/>
  <c r="AF73" i="33"/>
  <c r="AF89" i="33"/>
  <c r="AF83" i="33"/>
  <c r="AF99" i="33"/>
  <c r="AF77" i="33"/>
  <c r="AF93" i="33"/>
  <c r="AI33" i="33"/>
  <c r="AI52" i="33"/>
  <c r="AI56" i="33"/>
  <c r="AI60" i="33"/>
  <c r="AI64" i="33"/>
  <c r="AI68" i="33"/>
  <c r="AI72" i="33"/>
  <c r="AI76" i="33"/>
  <c r="AI80" i="33"/>
  <c r="AI84" i="33"/>
  <c r="AI88" i="33"/>
  <c r="AI92" i="33"/>
  <c r="AI96" i="33"/>
  <c r="AI100" i="33"/>
  <c r="AI53" i="33"/>
  <c r="AI57" i="33"/>
  <c r="AI61" i="33"/>
  <c r="AI65" i="33"/>
  <c r="AI69" i="33"/>
  <c r="AI73" i="33"/>
  <c r="AI77" i="33"/>
  <c r="AI81" i="33"/>
  <c r="AI85" i="33"/>
  <c r="AI89" i="33"/>
  <c r="AI93" i="33"/>
  <c r="AI97" i="33"/>
  <c r="AI54" i="33"/>
  <c r="AI58" i="33"/>
  <c r="AI62" i="33"/>
  <c r="AI66" i="33"/>
  <c r="AI70" i="33"/>
  <c r="AI74" i="33"/>
  <c r="AI78" i="33"/>
  <c r="AI82" i="33"/>
  <c r="AI86" i="33"/>
  <c r="AI90" i="33"/>
  <c r="AI94" i="33"/>
  <c r="AI98" i="33"/>
  <c r="AI55" i="33"/>
  <c r="AI59" i="33"/>
  <c r="AI63" i="33"/>
  <c r="AI67" i="33"/>
  <c r="AI71" i="33"/>
  <c r="AI75" i="33"/>
  <c r="AI79" i="33"/>
  <c r="AI83" i="33"/>
  <c r="AI87" i="33"/>
  <c r="AI91" i="33"/>
  <c r="AI95" i="33"/>
  <c r="AI99" i="33"/>
  <c r="AB33" i="33"/>
  <c r="AB53" i="33"/>
  <c r="AB69" i="33"/>
  <c r="AB52" i="33"/>
  <c r="AB56" i="33"/>
  <c r="AB60" i="33"/>
  <c r="AB64" i="33"/>
  <c r="AB68" i="33"/>
  <c r="AB72" i="33"/>
  <c r="AB76" i="33"/>
  <c r="AB80" i="33"/>
  <c r="AB84" i="33"/>
  <c r="AB88" i="33"/>
  <c r="AB92" i="33"/>
  <c r="AB96" i="33"/>
  <c r="AB100" i="33"/>
  <c r="AB57" i="33"/>
  <c r="AB61" i="33"/>
  <c r="AB65" i="33"/>
  <c r="AB59" i="33"/>
  <c r="AB63" i="33"/>
  <c r="AB54" i="33"/>
  <c r="AB58" i="33"/>
  <c r="AB62" i="33"/>
  <c r="AB66" i="33"/>
  <c r="AB70" i="33"/>
  <c r="AB74" i="33"/>
  <c r="AB78" i="33"/>
  <c r="AB82" i="33"/>
  <c r="AB86" i="33"/>
  <c r="AB90" i="33"/>
  <c r="AB94" i="33"/>
  <c r="AB98" i="33"/>
  <c r="AB55" i="33"/>
  <c r="AB67" i="33"/>
  <c r="AB71" i="33"/>
  <c r="AB81" i="33"/>
  <c r="AB97" i="33"/>
  <c r="AB75" i="33"/>
  <c r="AB91" i="33"/>
  <c r="AB85" i="33"/>
  <c r="AB79" i="33"/>
  <c r="AB95" i="33"/>
  <c r="AB73" i="33"/>
  <c r="AB89" i="33"/>
  <c r="AB83" i="33"/>
  <c r="AB99" i="33"/>
  <c r="AB77" i="33"/>
  <c r="AB93" i="33"/>
  <c r="AB87" i="33"/>
  <c r="AD33" i="33"/>
  <c r="AD55" i="33"/>
  <c r="AD59" i="33"/>
  <c r="AD63" i="33"/>
  <c r="AD67" i="33"/>
  <c r="AD71" i="33"/>
  <c r="AD75" i="33"/>
  <c r="AD79" i="33"/>
  <c r="AD83" i="33"/>
  <c r="AD87" i="33"/>
  <c r="AD91" i="33"/>
  <c r="AD95" i="33"/>
  <c r="AD99" i="33"/>
  <c r="AD56" i="33"/>
  <c r="AD64" i="33"/>
  <c r="AD68" i="33"/>
  <c r="AD52" i="33"/>
  <c r="AD60" i="33"/>
  <c r="AD66" i="33"/>
  <c r="AD53" i="33"/>
  <c r="AD57" i="33"/>
  <c r="AD61" i="33"/>
  <c r="AD65" i="33"/>
  <c r="AD69" i="33"/>
  <c r="AD73" i="33"/>
  <c r="AD77" i="33"/>
  <c r="AD81" i="33"/>
  <c r="AD85" i="33"/>
  <c r="AD89" i="33"/>
  <c r="AD93" i="33"/>
  <c r="AD97" i="33"/>
  <c r="AD54" i="33"/>
  <c r="AD58" i="33"/>
  <c r="AD62" i="33"/>
  <c r="AD84" i="33"/>
  <c r="AD100" i="33"/>
  <c r="AD78" i="33"/>
  <c r="AD94" i="33"/>
  <c r="AD72" i="33"/>
  <c r="AD88" i="33"/>
  <c r="AD82" i="33"/>
  <c r="AD98" i="33"/>
  <c r="AD76" i="33"/>
  <c r="AD92" i="33"/>
  <c r="AD86" i="33"/>
  <c r="AD80" i="33"/>
  <c r="AD96" i="33"/>
  <c r="AD70" i="33"/>
  <c r="AD74" i="33"/>
  <c r="AD90" i="33"/>
  <c r="AH33" i="33"/>
  <c r="AH66" i="33"/>
  <c r="AH53" i="33"/>
  <c r="AH57" i="33"/>
  <c r="AH61" i="33"/>
  <c r="AH65" i="33"/>
  <c r="AH69" i="33"/>
  <c r="AH73" i="33"/>
  <c r="AH77" i="33"/>
  <c r="AH81" i="33"/>
  <c r="AH85" i="33"/>
  <c r="AH89" i="33"/>
  <c r="AH93" i="33"/>
  <c r="AH97" i="33"/>
  <c r="AH54" i="33"/>
  <c r="AH58" i="33"/>
  <c r="AH62" i="33"/>
  <c r="AH70" i="33"/>
  <c r="AH52" i="33"/>
  <c r="AH55" i="33"/>
  <c r="AH59" i="33"/>
  <c r="AH63" i="33"/>
  <c r="AH67" i="33"/>
  <c r="AH71" i="33"/>
  <c r="AH75" i="33"/>
  <c r="AH79" i="33"/>
  <c r="AH83" i="33"/>
  <c r="AH87" i="33"/>
  <c r="AH91" i="33"/>
  <c r="AH95" i="33"/>
  <c r="AH99" i="33"/>
  <c r="AH56" i="33"/>
  <c r="AH68" i="33"/>
  <c r="AH60" i="33"/>
  <c r="AH64" i="33"/>
  <c r="AH74" i="33"/>
  <c r="AH90" i="33"/>
  <c r="AH84" i="33"/>
  <c r="AH100" i="33"/>
  <c r="AH78" i="33"/>
  <c r="AH94" i="33"/>
  <c r="AH72" i="33"/>
  <c r="AH88" i="33"/>
  <c r="AH82" i="33"/>
  <c r="AH98" i="33"/>
  <c r="AH76" i="33"/>
  <c r="AH92" i="33"/>
  <c r="AH86" i="33"/>
  <c r="AH80" i="33"/>
  <c r="AH96" i="33"/>
  <c r="AA33" i="33"/>
  <c r="AA52" i="33"/>
  <c r="AA56" i="33"/>
  <c r="AA60" i="33"/>
  <c r="AA64" i="33"/>
  <c r="AA68" i="33"/>
  <c r="AA72" i="33"/>
  <c r="AA76" i="33"/>
  <c r="AA80" i="33"/>
  <c r="AA84" i="33"/>
  <c r="AA88" i="33"/>
  <c r="AA92" i="33"/>
  <c r="AA96" i="33"/>
  <c r="AA100" i="33"/>
  <c r="AA53" i="33"/>
  <c r="AA57" i="33"/>
  <c r="AA61" i="33"/>
  <c r="AA65" i="33"/>
  <c r="AA69" i="33"/>
  <c r="AA73" i="33"/>
  <c r="AA77" i="33"/>
  <c r="AA81" i="33"/>
  <c r="AA85" i="33"/>
  <c r="AA89" i="33"/>
  <c r="AA93" i="33"/>
  <c r="AA97" i="33"/>
  <c r="AA54" i="33"/>
  <c r="AA58" i="33"/>
  <c r="AA62" i="33"/>
  <c r="AA66" i="33"/>
  <c r="AA70" i="33"/>
  <c r="AA74" i="33"/>
  <c r="AA78" i="33"/>
  <c r="AA82" i="33"/>
  <c r="AA86" i="33"/>
  <c r="AA90" i="33"/>
  <c r="AA94" i="33"/>
  <c r="AA98" i="33"/>
  <c r="AA55" i="33"/>
  <c r="AA59" i="33"/>
  <c r="AA63" i="33"/>
  <c r="AA67" i="33"/>
  <c r="AA71" i="33"/>
  <c r="AA75" i="33"/>
  <c r="AA79" i="33"/>
  <c r="AA83" i="33"/>
  <c r="AA87" i="33"/>
  <c r="AA91" i="33"/>
  <c r="AA95" i="33"/>
  <c r="AA99" i="33"/>
  <c r="AC33" i="33"/>
  <c r="AC55" i="33"/>
  <c r="AC59" i="33"/>
  <c r="AC63" i="33"/>
  <c r="AC67" i="33"/>
  <c r="AC71" i="33"/>
  <c r="AC75" i="33"/>
  <c r="AC79" i="33"/>
  <c r="AC83" i="33"/>
  <c r="AC87" i="33"/>
  <c r="AC91" i="33"/>
  <c r="AC95" i="33"/>
  <c r="AC99" i="33"/>
  <c r="AC52" i="33"/>
  <c r="AC56" i="33"/>
  <c r="AC60" i="33"/>
  <c r="AC64" i="33"/>
  <c r="AC68" i="33"/>
  <c r="AC72" i="33"/>
  <c r="AC76" i="33"/>
  <c r="AC80" i="33"/>
  <c r="AC84" i="33"/>
  <c r="AC88" i="33"/>
  <c r="AC92" i="33"/>
  <c r="AC96" i="33"/>
  <c r="AC100" i="33"/>
  <c r="AC53" i="33"/>
  <c r="AC57" i="33"/>
  <c r="AC61" i="33"/>
  <c r="AC65" i="33"/>
  <c r="AC69" i="33"/>
  <c r="AC73" i="33"/>
  <c r="AC77" i="33"/>
  <c r="AC81" i="33"/>
  <c r="AC85" i="33"/>
  <c r="AC89" i="33"/>
  <c r="AC93" i="33"/>
  <c r="AC97" i="33"/>
  <c r="AC54" i="33"/>
  <c r="AC58" i="33"/>
  <c r="AC62" i="33"/>
  <c r="AC66" i="33"/>
  <c r="AC70" i="33"/>
  <c r="AC74" i="33"/>
  <c r="AC78" i="33"/>
  <c r="AC82" i="33"/>
  <c r="AC86" i="33"/>
  <c r="AC90" i="33"/>
  <c r="AC94" i="33"/>
  <c r="AC98" i="33"/>
  <c r="Z33" i="33"/>
  <c r="Z5" i="33"/>
  <c r="Z53" i="33"/>
  <c r="Z57" i="33"/>
  <c r="Z61" i="33"/>
  <c r="Z65" i="33"/>
  <c r="Z69" i="33"/>
  <c r="Z73" i="33"/>
  <c r="Z77" i="33"/>
  <c r="Z81" i="33"/>
  <c r="Z85" i="33"/>
  <c r="Z89" i="33"/>
  <c r="Z93" i="33"/>
  <c r="Z97" i="33"/>
  <c r="Z54" i="33"/>
  <c r="Z58" i="33"/>
  <c r="Z62" i="33"/>
  <c r="Z66" i="33"/>
  <c r="Z70" i="33"/>
  <c r="Z55" i="33"/>
  <c r="Z59" i="33"/>
  <c r="Z63" i="33"/>
  <c r="Z67" i="33"/>
  <c r="Z71" i="33"/>
  <c r="Z75" i="33"/>
  <c r="Z79" i="33"/>
  <c r="Z83" i="33"/>
  <c r="Z87" i="33"/>
  <c r="Z91" i="33"/>
  <c r="Z95" i="33"/>
  <c r="Z99" i="33"/>
  <c r="Z56" i="33"/>
  <c r="Z60" i="33"/>
  <c r="Z64" i="33"/>
  <c r="Z52" i="33"/>
  <c r="Z68" i="33"/>
  <c r="Z78" i="33"/>
  <c r="Z94" i="33"/>
  <c r="Z72" i="33"/>
  <c r="Z88" i="33"/>
  <c r="Z82" i="33"/>
  <c r="Z98" i="33"/>
  <c r="Z76" i="33"/>
  <c r="Z92" i="33"/>
  <c r="Z96" i="33"/>
  <c r="Z86" i="33"/>
  <c r="Z80" i="33"/>
  <c r="Z74" i="33"/>
  <c r="Z90" i="33"/>
  <c r="Z84" i="33"/>
  <c r="Z100" i="33"/>
  <c r="AA12" i="33"/>
  <c r="AA40" i="33"/>
  <c r="AA47" i="33"/>
  <c r="AG33" i="33"/>
  <c r="AG53" i="33"/>
  <c r="AG57" i="33"/>
  <c r="AG61" i="33"/>
  <c r="AG65" i="33"/>
  <c r="AG69" i="33"/>
  <c r="AG73" i="33"/>
  <c r="AG77" i="33"/>
  <c r="AG81" i="33"/>
  <c r="AG85" i="33"/>
  <c r="AG89" i="33"/>
  <c r="AG93" i="33"/>
  <c r="AG97" i="33"/>
  <c r="AG54" i="33"/>
  <c r="AG58" i="33"/>
  <c r="AG62" i="33"/>
  <c r="AG66" i="33"/>
  <c r="AG70" i="33"/>
  <c r="AG74" i="33"/>
  <c r="AG78" i="33"/>
  <c r="AG82" i="33"/>
  <c r="AG86" i="33"/>
  <c r="AG90" i="33"/>
  <c r="AG94" i="33"/>
  <c r="AG98" i="33"/>
  <c r="AG55" i="33"/>
  <c r="AG59" i="33"/>
  <c r="AG63" i="33"/>
  <c r="AG67" i="33"/>
  <c r="AG71" i="33"/>
  <c r="AG75" i="33"/>
  <c r="AG79" i="33"/>
  <c r="AG83" i="33"/>
  <c r="AG87" i="33"/>
  <c r="AG91" i="33"/>
  <c r="AG95" i="33"/>
  <c r="AG99" i="33"/>
  <c r="AG52" i="33"/>
  <c r="AG56" i="33"/>
  <c r="AG60" i="33"/>
  <c r="AG64" i="33"/>
  <c r="AG68" i="33"/>
  <c r="AG72" i="33"/>
  <c r="AG76" i="33"/>
  <c r="AG80" i="33"/>
  <c r="AG84" i="33"/>
  <c r="AG88" i="33"/>
  <c r="AG92" i="33"/>
  <c r="AG96" i="33"/>
  <c r="AG100" i="33"/>
  <c r="AF47" i="33"/>
  <c r="AF28" i="33"/>
  <c r="AF51" i="33"/>
  <c r="AF24" i="33"/>
  <c r="AF23" i="33"/>
  <c r="AD15" i="33"/>
  <c r="AD32" i="33"/>
  <c r="AD9" i="33"/>
  <c r="AD27" i="33"/>
  <c r="AH46" i="33"/>
  <c r="AH37" i="33"/>
  <c r="AH47" i="33"/>
  <c r="AH12" i="33"/>
  <c r="AH16" i="33"/>
  <c r="AE38" i="33"/>
  <c r="AE17" i="33"/>
  <c r="AE47" i="33"/>
  <c r="AE36" i="33"/>
  <c r="AA23" i="33"/>
  <c r="AA50" i="33"/>
  <c r="AA20" i="33"/>
  <c r="Z35" i="33"/>
  <c r="AE29" i="33"/>
  <c r="AA16" i="33"/>
  <c r="AA10" i="33"/>
  <c r="AA37" i="33"/>
  <c r="Z42" i="33"/>
  <c r="AE33" i="33"/>
  <c r="AE54" i="33"/>
  <c r="AE58" i="33"/>
  <c r="AE62" i="33"/>
  <c r="AE66" i="33"/>
  <c r="AE70" i="33"/>
  <c r="AE74" i="33"/>
  <c r="AE78" i="33"/>
  <c r="AE82" i="33"/>
  <c r="AE86" i="33"/>
  <c r="AE90" i="33"/>
  <c r="AE94" i="33"/>
  <c r="AE98" i="33"/>
  <c r="AE55" i="33"/>
  <c r="AE59" i="33"/>
  <c r="AE63" i="33"/>
  <c r="AE67" i="33"/>
  <c r="AE71" i="33"/>
  <c r="AE75" i="33"/>
  <c r="AE79" i="33"/>
  <c r="AE83" i="33"/>
  <c r="AE87" i="33"/>
  <c r="AE91" i="33"/>
  <c r="AE95" i="33"/>
  <c r="AE99" i="33"/>
  <c r="AE52" i="33"/>
  <c r="AE56" i="33"/>
  <c r="AE60" i="33"/>
  <c r="AE64" i="33"/>
  <c r="AE68" i="33"/>
  <c r="AE72" i="33"/>
  <c r="AE76" i="33"/>
  <c r="AE80" i="33"/>
  <c r="AE84" i="33"/>
  <c r="AE88" i="33"/>
  <c r="AE92" i="33"/>
  <c r="AE96" i="33"/>
  <c r="AE100" i="33"/>
  <c r="AE53" i="33"/>
  <c r="AE57" i="33"/>
  <c r="AE61" i="33"/>
  <c r="AE65" i="33"/>
  <c r="AE69" i="33"/>
  <c r="AE73" i="33"/>
  <c r="AE77" i="33"/>
  <c r="AE81" i="33"/>
  <c r="AE85" i="33"/>
  <c r="AE89" i="33"/>
  <c r="AE93" i="33"/>
  <c r="AE97" i="33"/>
  <c r="AK29" i="47"/>
  <c r="AK62" i="47"/>
  <c r="Z24" i="33"/>
  <c r="Z12" i="33"/>
  <c r="Z11" i="33"/>
  <c r="AC14" i="33"/>
  <c r="AC37" i="33"/>
  <c r="AC20" i="33"/>
  <c r="AC15" i="33"/>
  <c r="AC9" i="33"/>
  <c r="AC24" i="33"/>
  <c r="AC28" i="33"/>
  <c r="AC42" i="33"/>
  <c r="AG28" i="33"/>
  <c r="AC49" i="33"/>
  <c r="AC50" i="33"/>
  <c r="AC30" i="33"/>
  <c r="AC10" i="33"/>
  <c r="AC47" i="33"/>
  <c r="AC34" i="33"/>
  <c r="AC25" i="33"/>
  <c r="AC12" i="33"/>
  <c r="AC44" i="33"/>
  <c r="AC35" i="33"/>
  <c r="AC32" i="33"/>
  <c r="AC8" i="33"/>
  <c r="AA26" i="33"/>
  <c r="Z48" i="33"/>
  <c r="AC48" i="33"/>
  <c r="AC6" i="33"/>
  <c r="AC13" i="33"/>
  <c r="AC7" i="33"/>
  <c r="AC23" i="33"/>
  <c r="AC41" i="33"/>
  <c r="AC19" i="33"/>
  <c r="Z31" i="33"/>
  <c r="Z27" i="33"/>
  <c r="AB28" i="33"/>
  <c r="AC16" i="33"/>
  <c r="AC46" i="33"/>
  <c r="AC29" i="33"/>
  <c r="AG12" i="33"/>
  <c r="AE42" i="33"/>
  <c r="AE14" i="33"/>
  <c r="AE37" i="33"/>
  <c r="AE30" i="33"/>
  <c r="AA45" i="33"/>
  <c r="AA49" i="33"/>
  <c r="AA34" i="33"/>
  <c r="AA18" i="33"/>
  <c r="Z46" i="33"/>
  <c r="Z18" i="33"/>
  <c r="AB43" i="33"/>
  <c r="AH15" i="33"/>
  <c r="AC45" i="33"/>
  <c r="AC31" i="33"/>
  <c r="AC39" i="33"/>
  <c r="AC27" i="33"/>
  <c r="AC22" i="33"/>
  <c r="AE34" i="33"/>
  <c r="AE41" i="33"/>
  <c r="AE22" i="33"/>
  <c r="AE24" i="33"/>
  <c r="AE5" i="33"/>
  <c r="AA19" i="33"/>
  <c r="AA43" i="33"/>
  <c r="AA5" i="33"/>
  <c r="AA27" i="33"/>
  <c r="Z37" i="33"/>
  <c r="Z28" i="33"/>
  <c r="Z9" i="33"/>
  <c r="AB46" i="33"/>
  <c r="AB34" i="33"/>
  <c r="AB29" i="33"/>
  <c r="AB17" i="33"/>
  <c r="AB32" i="33"/>
  <c r="AB40" i="33"/>
  <c r="AB26" i="33"/>
  <c r="AB9" i="33"/>
  <c r="AB19" i="33"/>
  <c r="AB45" i="33"/>
  <c r="AB44" i="33"/>
  <c r="AB27" i="33"/>
  <c r="AB49" i="33"/>
  <c r="AB21" i="33"/>
  <c r="AB39" i="33"/>
  <c r="AA8" i="33"/>
  <c r="AA51" i="33"/>
  <c r="AA28" i="33"/>
  <c r="AA15" i="33"/>
  <c r="Z51" i="33"/>
  <c r="Z21" i="33"/>
  <c r="Z14" i="33"/>
  <c r="AB24" i="33"/>
  <c r="AB7" i="33"/>
  <c r="AB11" i="33"/>
  <c r="AB48" i="33"/>
  <c r="AB14" i="33"/>
  <c r="AB5" i="33"/>
  <c r="AB15" i="33"/>
  <c r="AB35" i="33"/>
  <c r="AB36" i="33"/>
  <c r="AB38" i="33"/>
  <c r="AB42" i="33"/>
  <c r="AB47" i="33"/>
  <c r="Z38" i="33"/>
  <c r="Z49" i="33"/>
  <c r="Z19" i="33"/>
  <c r="Z23" i="33"/>
  <c r="AB10" i="33"/>
  <c r="AB50" i="33"/>
  <c r="AB23" i="33"/>
  <c r="AB18" i="33"/>
  <c r="AB13" i="33"/>
  <c r="AB37" i="33"/>
  <c r="AB8" i="33"/>
  <c r="AB22" i="33"/>
  <c r="AB16" i="33"/>
  <c r="AB12" i="33"/>
  <c r="AB30" i="33"/>
  <c r="AB6" i="33"/>
  <c r="AB25" i="33"/>
  <c r="AB41" i="33"/>
  <c r="AB31" i="33"/>
  <c r="AB20" i="33"/>
  <c r="AB51" i="33"/>
  <c r="AI47" i="33"/>
  <c r="Z10" i="33"/>
  <c r="AK19" i="47"/>
  <c r="AK74" i="47"/>
  <c r="AK27" i="47"/>
  <c r="AK98" i="47"/>
  <c r="AK96" i="47"/>
  <c r="AK91" i="47"/>
  <c r="AK93" i="47"/>
  <c r="AK60" i="47"/>
  <c r="AK67" i="47"/>
  <c r="AK69" i="47"/>
  <c r="AK39" i="47"/>
  <c r="AK41" i="47"/>
  <c r="AK21" i="47"/>
  <c r="AK14" i="47"/>
  <c r="AK16" i="47"/>
  <c r="AK22" i="47"/>
  <c r="AK8" i="47"/>
  <c r="AK103" i="47"/>
  <c r="AK13" i="47"/>
  <c r="AK72" i="47"/>
  <c r="AK79" i="47"/>
  <c r="AK81" i="47"/>
  <c r="AK48" i="47"/>
  <c r="AJ107" i="47"/>
  <c r="AK55" i="47"/>
  <c r="AK92" i="47"/>
  <c r="AK36" i="47"/>
  <c r="AK50" i="47"/>
  <c r="AK57" i="47"/>
  <c r="AK70" i="47"/>
  <c r="AK43" i="47"/>
  <c r="AK7" i="47"/>
  <c r="H53" i="46" s="1"/>
  <c r="S53" i="46" s="1"/>
  <c r="AK24" i="47"/>
  <c r="AK104" i="47"/>
  <c r="AK45" i="47"/>
  <c r="AK26" i="47"/>
  <c r="AK31" i="47"/>
  <c r="AK95" i="47"/>
  <c r="AK10" i="47"/>
  <c r="AK80" i="47"/>
  <c r="AK33" i="47"/>
  <c r="AK97" i="47"/>
  <c r="AK18" i="47"/>
  <c r="H67" i="46" s="1"/>
  <c r="S67" i="46" s="1"/>
  <c r="AK83" i="47"/>
  <c r="AK78" i="47"/>
  <c r="AK64" i="47"/>
  <c r="AK20" i="47"/>
  <c r="AK85" i="47"/>
  <c r="AK86" i="47"/>
  <c r="AJ5" i="47"/>
  <c r="AK71" i="47"/>
  <c r="AK34" i="47"/>
  <c r="AK52" i="47"/>
  <c r="AK12" i="47"/>
  <c r="AK73" i="47"/>
  <c r="AK38" i="47"/>
  <c r="AK59" i="47"/>
  <c r="AK100" i="47"/>
  <c r="AK40" i="47"/>
  <c r="AK66" i="47"/>
  <c r="AK61" i="47"/>
  <c r="AK90" i="47"/>
  <c r="AK47" i="47"/>
  <c r="AK76" i="47"/>
  <c r="AK28" i="47"/>
  <c r="AK17" i="47"/>
  <c r="AK49" i="47"/>
  <c r="AK42" i="47"/>
  <c r="AK35" i="47"/>
  <c r="AK99" i="47"/>
  <c r="AK15" i="47"/>
  <c r="AK88" i="47"/>
  <c r="AK37" i="47"/>
  <c r="AK101" i="47"/>
  <c r="AK9" i="47"/>
  <c r="AJ6" i="47"/>
  <c r="AK23" i="47"/>
  <c r="AK87" i="47"/>
  <c r="AK94" i="47"/>
  <c r="AK68" i="47"/>
  <c r="AK25" i="47"/>
  <c r="AK89" i="47"/>
  <c r="AK102" i="47"/>
  <c r="AK75" i="47"/>
  <c r="AK46" i="47"/>
  <c r="AK56" i="47"/>
  <c r="AK11" i="47"/>
  <c r="AK77" i="47"/>
  <c r="AK54" i="47"/>
  <c r="AK63" i="47"/>
  <c r="AK105" i="47"/>
  <c r="AK44" i="47"/>
  <c r="AK82" i="47"/>
  <c r="AK65" i="47"/>
  <c r="AK106" i="47"/>
  <c r="AK51" i="47"/>
  <c r="AK84" i="47"/>
  <c r="AK32" i="47"/>
  <c r="AK30" i="47"/>
  <c r="AK53" i="47"/>
  <c r="AK58" i="47"/>
  <c r="C9" i="43"/>
  <c r="D9" i="43" s="1"/>
  <c r="F9" i="43" s="1"/>
  <c r="L72" i="48"/>
  <c r="M72" i="48"/>
  <c r="AH72" i="48" s="1"/>
  <c r="L71" i="48"/>
  <c r="AK71" i="48"/>
  <c r="AH71" i="48" s="1"/>
  <c r="AI48" i="33"/>
  <c r="AI27" i="33"/>
  <c r="V53" i="46"/>
  <c r="AY17" i="48"/>
  <c r="AI32" i="33"/>
  <c r="H61" i="46"/>
  <c r="V61" i="46" s="1"/>
  <c r="AY31" i="48"/>
  <c r="V67" i="46"/>
  <c r="H60" i="46"/>
  <c r="V60" i="46" s="1"/>
  <c r="H66" i="46"/>
  <c r="V66" i="46" s="1"/>
  <c r="H65" i="46"/>
  <c r="V65" i="46" s="1"/>
  <c r="H58" i="46"/>
  <c r="S58" i="46" s="1"/>
  <c r="H56" i="46"/>
  <c r="V56" i="46" s="1"/>
  <c r="H55" i="46"/>
  <c r="AK73" i="48"/>
  <c r="AH73" i="48" s="1"/>
  <c r="L73" i="48"/>
  <c r="AK67" i="48"/>
  <c r="AH67" i="48" s="1"/>
  <c r="L67" i="48"/>
  <c r="Z89" i="46"/>
  <c r="Z96" i="46"/>
  <c r="Z114" i="46"/>
  <c r="Z47" i="46"/>
  <c r="Z61" i="46"/>
  <c r="Z64" i="46"/>
  <c r="Z49" i="46"/>
  <c r="Z50" i="46"/>
  <c r="Z51" i="46"/>
  <c r="Z141" i="46"/>
  <c r="Z57" i="46"/>
  <c r="Z134" i="46"/>
  <c r="Z104" i="46"/>
  <c r="Z133" i="46"/>
  <c r="Z138" i="46"/>
  <c r="Z140" i="46"/>
  <c r="Z103" i="46"/>
  <c r="Z129" i="46"/>
  <c r="Z132" i="46"/>
  <c r="Z130" i="46"/>
  <c r="Z102" i="46"/>
  <c r="Z83" i="46"/>
  <c r="Z127" i="46"/>
  <c r="Z124" i="46"/>
  <c r="Z55" i="46"/>
  <c r="Z112" i="46"/>
  <c r="Z117" i="46"/>
  <c r="Z116" i="46"/>
  <c r="Z62" i="46"/>
  <c r="Z113" i="46"/>
  <c r="Z111" i="46"/>
  <c r="Z56" i="46"/>
  <c r="Z125" i="46"/>
  <c r="Z106" i="46"/>
  <c r="Z98" i="46"/>
  <c r="Z122" i="46"/>
  <c r="Z54" i="46"/>
  <c r="Z95" i="46"/>
  <c r="Z48" i="46"/>
  <c r="Z115" i="46"/>
  <c r="Z109" i="46"/>
  <c r="Z110" i="46"/>
  <c r="Z73" i="46"/>
  <c r="Z58" i="46"/>
  <c r="Z128" i="46"/>
  <c r="Z46" i="46"/>
  <c r="Z78" i="46"/>
  <c r="Z119" i="46"/>
  <c r="Z137" i="46"/>
  <c r="Z143" i="46"/>
  <c r="Z82" i="46"/>
  <c r="Z88" i="46"/>
  <c r="Z87" i="46"/>
  <c r="Z86" i="46"/>
  <c r="Z121" i="46"/>
  <c r="Z94" i="46"/>
  <c r="Z101" i="46"/>
  <c r="Z120" i="46"/>
  <c r="Z97" i="46"/>
  <c r="Z44" i="46"/>
  <c r="Z84" i="46"/>
  <c r="Z70" i="46"/>
  <c r="Z53" i="46"/>
  <c r="Z45" i="46"/>
  <c r="Z90" i="46"/>
  <c r="Z105" i="46"/>
  <c r="Z100" i="46"/>
  <c r="Z80" i="46"/>
  <c r="Z67" i="46"/>
  <c r="Z85" i="46"/>
  <c r="Z74" i="46"/>
  <c r="Z131" i="46"/>
  <c r="Z75" i="46"/>
  <c r="Z81" i="46"/>
  <c r="Z68" i="46"/>
  <c r="Z142" i="46"/>
  <c r="Z72" i="46"/>
  <c r="Z77" i="46"/>
  <c r="Z63" i="46"/>
  <c r="Z126" i="46"/>
  <c r="Z59" i="46"/>
  <c r="Z79" i="46"/>
  <c r="Z136" i="46"/>
  <c r="Z69" i="46"/>
  <c r="Z52" i="46"/>
  <c r="Z66" i="46"/>
  <c r="Z65" i="46"/>
  <c r="Z108" i="46"/>
  <c r="Z60" i="46"/>
  <c r="Z139" i="46"/>
  <c r="Z107" i="46"/>
  <c r="Z76" i="46"/>
  <c r="Z135" i="46"/>
  <c r="Z99" i="46"/>
  <c r="Z71" i="46"/>
  <c r="Z123" i="46"/>
  <c r="Z118" i="46"/>
  <c r="Z47" i="33"/>
  <c r="Z44" i="33"/>
  <c r="Z39" i="33"/>
  <c r="Z7" i="33"/>
  <c r="Z16" i="33"/>
  <c r="Z17" i="33"/>
  <c r="Z45" i="33"/>
  <c r="AF43" i="33"/>
  <c r="AF48" i="33"/>
  <c r="AF16" i="33"/>
  <c r="AF7" i="33"/>
  <c r="AF38" i="33"/>
  <c r="AF29" i="33"/>
  <c r="AF18" i="33"/>
  <c r="AD35" i="33"/>
  <c r="AD16" i="33"/>
  <c r="AD28" i="33"/>
  <c r="AD21" i="33"/>
  <c r="AD29" i="33"/>
  <c r="AD51" i="33"/>
  <c r="AD47" i="33"/>
  <c r="AD5" i="33"/>
  <c r="AH32" i="33"/>
  <c r="AH25" i="33"/>
  <c r="AH41" i="33"/>
  <c r="AH38" i="33"/>
  <c r="AH39" i="33"/>
  <c r="AH28" i="33"/>
  <c r="AH22" i="33"/>
  <c r="AH31" i="33"/>
  <c r="AC5" i="33"/>
  <c r="AC18" i="33"/>
  <c r="AC38" i="33"/>
  <c r="AC36" i="33"/>
  <c r="AC26" i="33"/>
  <c r="AC17" i="33"/>
  <c r="AC40" i="33"/>
  <c r="AI17" i="33"/>
  <c r="AE10" i="33"/>
  <c r="AE20" i="33"/>
  <c r="AE13" i="33"/>
  <c r="AE15" i="33"/>
  <c r="AE9" i="33"/>
  <c r="AE21" i="33"/>
  <c r="AE8" i="33"/>
  <c r="AA48" i="33"/>
  <c r="AA44" i="33"/>
  <c r="AA29" i="33"/>
  <c r="AA32" i="33"/>
  <c r="AA38" i="33"/>
  <c r="AA46" i="33"/>
  <c r="AA21" i="33"/>
  <c r="AA9" i="33"/>
  <c r="Z34" i="33"/>
  <c r="Z50" i="33"/>
  <c r="Z40" i="33"/>
  <c r="Z13" i="33"/>
  <c r="Z6" i="33"/>
  <c r="Z20" i="33"/>
  <c r="Z41" i="33"/>
  <c r="Z43" i="33"/>
  <c r="Z30" i="33"/>
  <c r="Z36" i="33"/>
  <c r="AI42" i="33"/>
  <c r="AI38" i="33"/>
  <c r="AI26" i="33"/>
  <c r="AI6" i="33"/>
  <c r="AI29" i="33"/>
  <c r="AG45" i="33"/>
  <c r="AG35" i="33"/>
  <c r="AI37" i="33"/>
  <c r="AI5" i="33"/>
  <c r="AI9" i="33"/>
  <c r="AI14" i="33"/>
  <c r="AI30" i="33"/>
  <c r="AG23" i="33"/>
  <c r="AG31" i="33"/>
  <c r="AI20" i="33"/>
  <c r="AI51" i="33"/>
  <c r="AI45" i="33"/>
  <c r="AI39" i="33"/>
  <c r="AI34" i="33"/>
  <c r="AG30" i="33"/>
  <c r="AG7" i="33"/>
  <c r="AI24" i="33"/>
  <c r="AI44" i="33"/>
  <c r="AI40" i="33"/>
  <c r="AI36" i="33"/>
  <c r="AG25" i="33"/>
  <c r="AG11" i="33"/>
  <c r="AI35" i="33"/>
  <c r="AI19" i="33"/>
  <c r="AI15" i="33"/>
  <c r="AI8" i="33"/>
  <c r="AI11" i="33"/>
  <c r="AI41" i="33"/>
  <c r="AG49" i="33"/>
  <c r="AK68" i="48"/>
  <c r="AK70" i="48"/>
  <c r="M70" i="48"/>
  <c r="AH70" i="48" s="1"/>
  <c r="M68" i="48"/>
  <c r="AH68" i="48" s="1"/>
  <c r="L69" i="48"/>
  <c r="AK69" i="48"/>
  <c r="I41" i="48"/>
  <c r="E41" i="48"/>
  <c r="AI13" i="33"/>
  <c r="AI12" i="33"/>
  <c r="AI22" i="33"/>
  <c r="AI23" i="33"/>
  <c r="AI46" i="33"/>
  <c r="AI43" i="33"/>
  <c r="AI31" i="33"/>
  <c r="AI7" i="33"/>
  <c r="AI21" i="33"/>
  <c r="AI25" i="33"/>
  <c r="AI18" i="33"/>
  <c r="AI49" i="33"/>
  <c r="AI16" i="33"/>
  <c r="AI50" i="33"/>
  <c r="AI28" i="33"/>
  <c r="AI10" i="33"/>
  <c r="H110" i="46"/>
  <c r="S110" i="46" s="1"/>
  <c r="H116" i="46"/>
  <c r="S116" i="46" s="1"/>
  <c r="H105" i="46"/>
  <c r="S105" i="46" s="1"/>
  <c r="H136" i="46"/>
  <c r="S136" i="46" s="1"/>
  <c r="H133" i="46"/>
  <c r="S133" i="46" s="1"/>
  <c r="H141" i="46"/>
  <c r="S141" i="46" s="1"/>
  <c r="H124" i="46"/>
  <c r="S124" i="46" s="1"/>
  <c r="H129" i="46"/>
  <c r="S129" i="46" s="1"/>
  <c r="D54" i="48"/>
  <c r="H112" i="46"/>
  <c r="S112" i="46" s="1"/>
  <c r="H128" i="46"/>
  <c r="S128" i="46" s="1"/>
  <c r="H134" i="46"/>
  <c r="S134" i="46" s="1"/>
  <c r="H106" i="46"/>
  <c r="V106" i="46" s="1"/>
  <c r="H142" i="46"/>
  <c r="S142" i="46" s="1"/>
  <c r="H109" i="46"/>
  <c r="S109" i="46" s="1"/>
  <c r="AA44" i="46"/>
  <c r="H111" i="46"/>
  <c r="S111" i="46" s="1"/>
  <c r="H137" i="46"/>
  <c r="S137" i="46" s="1"/>
  <c r="H130" i="46"/>
  <c r="S130" i="46" s="1"/>
  <c r="H108" i="46"/>
  <c r="S108" i="46" s="1"/>
  <c r="H139" i="46"/>
  <c r="S139" i="46" s="1"/>
  <c r="H123" i="46"/>
  <c r="S123" i="46" s="1"/>
  <c r="G32" i="52"/>
  <c r="G34" i="52" s="1"/>
  <c r="H143" i="46"/>
  <c r="S143" i="46" s="1"/>
  <c r="W143" i="46" s="1"/>
  <c r="N32" i="52"/>
  <c r="N34" i="52" s="1"/>
  <c r="L32" i="52"/>
  <c r="L34" i="52" s="1"/>
  <c r="J32" i="52"/>
  <c r="J34" i="52" s="1"/>
  <c r="H32" i="52"/>
  <c r="H34" i="52" s="1"/>
  <c r="I32" i="52"/>
  <c r="I34" i="52" s="1"/>
  <c r="D32" i="52"/>
  <c r="D34" i="52" s="1"/>
  <c r="M32" i="52"/>
  <c r="M34" i="52" s="1"/>
  <c r="Y145" i="46"/>
  <c r="AZ390" i="23"/>
  <c r="Y146" i="46"/>
  <c r="Y149" i="46"/>
  <c r="Y147" i="46"/>
  <c r="E40" i="48"/>
  <c r="Y148" i="46"/>
  <c r="Y151" i="46"/>
  <c r="Y150" i="46"/>
  <c r="Y144" i="46"/>
  <c r="Q32" i="48"/>
  <c r="N32" i="48" s="1"/>
  <c r="V122" i="46"/>
  <c r="S122" i="46"/>
  <c r="H52" i="46"/>
  <c r="S52" i="46" s="1"/>
  <c r="H96" i="46"/>
  <c r="V110" i="46"/>
  <c r="V135" i="46"/>
  <c r="S135" i="46"/>
  <c r="V137" i="46"/>
  <c r="V130" i="46"/>
  <c r="H68" i="46"/>
  <c r="S68" i="46" s="1"/>
  <c r="H103" i="46"/>
  <c r="V139" i="46"/>
  <c r="V111" i="46"/>
  <c r="V142" i="46"/>
  <c r="H63" i="46"/>
  <c r="V63" i="46" s="1"/>
  <c r="H101" i="46"/>
  <c r="V133" i="46"/>
  <c r="H64" i="46"/>
  <c r="H102" i="46"/>
  <c r="V104" i="46"/>
  <c r="S104" i="46"/>
  <c r="V113" i="46"/>
  <c r="S113" i="46"/>
  <c r="V138" i="46"/>
  <c r="S138" i="46"/>
  <c r="V141" i="46"/>
  <c r="H57" i="46"/>
  <c r="V57" i="46" s="1"/>
  <c r="H98" i="46"/>
  <c r="V117" i="46"/>
  <c r="S117" i="46"/>
  <c r="V143" i="46"/>
  <c r="H50" i="46"/>
  <c r="S50" i="46" s="1"/>
  <c r="H95" i="46"/>
  <c r="V131" i="46"/>
  <c r="S131" i="46"/>
  <c r="V124" i="46"/>
  <c r="V123" i="46"/>
  <c r="H62" i="46"/>
  <c r="V62" i="46" s="1"/>
  <c r="H100" i="46"/>
  <c r="V134" i="46"/>
  <c r="H59" i="46"/>
  <c r="V59" i="46" s="1"/>
  <c r="H99" i="46"/>
  <c r="V128" i="46"/>
  <c r="V136" i="46"/>
  <c r="V140" i="46"/>
  <c r="S140" i="46"/>
  <c r="V112" i="46"/>
  <c r="V116" i="46"/>
  <c r="V105" i="46"/>
  <c r="V107" i="46"/>
  <c r="S107" i="46"/>
  <c r="H54" i="46"/>
  <c r="V54" i="46" s="1"/>
  <c r="H97" i="46"/>
  <c r="V109" i="46"/>
  <c r="V108" i="46"/>
  <c r="V129" i="46"/>
  <c r="V94" i="46"/>
  <c r="S94" i="46"/>
  <c r="AG41" i="33"/>
  <c r="AG46" i="33"/>
  <c r="AG50" i="33"/>
  <c r="AG15" i="33"/>
  <c r="AG44" i="33"/>
  <c r="AG24" i="33"/>
  <c r="AG21" i="33"/>
  <c r="AG48" i="33"/>
  <c r="AG39" i="33"/>
  <c r="AG43" i="33"/>
  <c r="AG16" i="33"/>
  <c r="AG10" i="33"/>
  <c r="AG27" i="33"/>
  <c r="AG20" i="33"/>
  <c r="AG42" i="33"/>
  <c r="AG9" i="33"/>
  <c r="AG19" i="33"/>
  <c r="AG5" i="33"/>
  <c r="AG17" i="33"/>
  <c r="AG37" i="33"/>
  <c r="AG32" i="33"/>
  <c r="AG47" i="33"/>
  <c r="AG51" i="33"/>
  <c r="AG26" i="33"/>
  <c r="AG13" i="33"/>
  <c r="AG22" i="33"/>
  <c r="AG18" i="33"/>
  <c r="AG40" i="33"/>
  <c r="AG14" i="33"/>
  <c r="AG38" i="33"/>
  <c r="AG8" i="33"/>
  <c r="AG34" i="33"/>
  <c r="AG29" i="33"/>
  <c r="AG6" i="33"/>
  <c r="AG36" i="33"/>
  <c r="E46" i="48"/>
  <c r="AA45" i="46"/>
  <c r="C15" i="43"/>
  <c r="D15" i="43" s="1"/>
  <c r="F15" i="43" s="1"/>
  <c r="D32" i="45"/>
  <c r="D34" i="45" s="1"/>
  <c r="AJ78" i="48"/>
  <c r="AK78" i="48" s="1"/>
  <c r="C7" i="43"/>
  <c r="D7" i="43" s="1"/>
  <c r="F7" i="43" s="1"/>
  <c r="C19" i="43"/>
  <c r="D19" i="43" s="1"/>
  <c r="F19" i="43" s="1"/>
  <c r="C6" i="43"/>
  <c r="D6" i="43" s="1"/>
  <c r="F6" i="43" s="1"/>
  <c r="C16" i="43"/>
  <c r="D16" i="43" s="1"/>
  <c r="H16" i="43" s="1"/>
  <c r="C8" i="43"/>
  <c r="D8" i="43" s="1"/>
  <c r="F8" i="43" s="1"/>
  <c r="C5" i="43"/>
  <c r="D5" i="43" s="1"/>
  <c r="F5" i="43" s="1"/>
  <c r="R27" i="45"/>
  <c r="I32" i="45" s="1"/>
  <c r="I34" i="45" s="1"/>
  <c r="G32" i="45"/>
  <c r="G34" i="45" s="1"/>
  <c r="K32" i="52"/>
  <c r="O32" i="52"/>
  <c r="AH69" i="48"/>
  <c r="E34" i="45"/>
  <c r="E34" i="52"/>
  <c r="D59" i="48"/>
  <c r="AV390" i="23"/>
  <c r="AX390" i="23"/>
  <c r="C17" i="43"/>
  <c r="D17" i="43" s="1"/>
  <c r="H17" i="43" s="1"/>
  <c r="AA198" i="23"/>
  <c r="AA205" i="23" s="1"/>
  <c r="AA197" i="23" s="1"/>
  <c r="AI197" i="23" s="1"/>
  <c r="P73" i="52"/>
  <c r="D76" i="52" s="1"/>
  <c r="D75" i="52"/>
  <c r="D80" i="48"/>
  <c r="O47" i="46"/>
  <c r="P73" i="45"/>
  <c r="D76" i="45" s="1"/>
  <c r="D75" i="45"/>
  <c r="D79" i="48"/>
  <c r="C18" i="43"/>
  <c r="D18" i="43" s="1"/>
  <c r="E49" i="48"/>
  <c r="V50" i="46"/>
  <c r="Z390" i="23"/>
  <c r="V52" i="46"/>
  <c r="V68" i="46"/>
  <c r="S48" i="46"/>
  <c r="V48" i="46"/>
  <c r="AD418" i="23" l="1"/>
  <c r="AF417" i="23" s="1"/>
  <c r="AI417" i="23" s="1"/>
  <c r="AD410" i="23" s="1"/>
  <c r="AK107" i="47"/>
  <c r="H42" i="46" s="1"/>
  <c r="AY25" i="48"/>
  <c r="S61" i="46"/>
  <c r="S60" i="46"/>
  <c r="AY24" i="48"/>
  <c r="AY30" i="48"/>
  <c r="S66" i="46"/>
  <c r="S54" i="46"/>
  <c r="AY18" i="48"/>
  <c r="AY29" i="48"/>
  <c r="S65" i="46"/>
  <c r="V58" i="46"/>
  <c r="AY22" i="48"/>
  <c r="S56" i="46"/>
  <c r="AY20" i="48"/>
  <c r="S55" i="46"/>
  <c r="AY19" i="48"/>
  <c r="V55" i="46"/>
  <c r="S64" i="46"/>
  <c r="AY28" i="48"/>
  <c r="V64" i="46"/>
  <c r="S63" i="46"/>
  <c r="AY27" i="48"/>
  <c r="S62" i="46"/>
  <c r="AY26" i="48"/>
  <c r="S57" i="46"/>
  <c r="AY21" i="48"/>
  <c r="S59" i="46"/>
  <c r="AY23" i="48"/>
  <c r="S33" i="52"/>
  <c r="Z146" i="46"/>
  <c r="F13" i="46" s="1"/>
  <c r="T33" i="52"/>
  <c r="Z148" i="46"/>
  <c r="F15" i="46" s="1"/>
  <c r="Z149" i="46"/>
  <c r="F16" i="46" s="1"/>
  <c r="Z150" i="46"/>
  <c r="F17" i="46" s="1"/>
  <c r="Z144" i="46"/>
  <c r="F11" i="46" s="1"/>
  <c r="Z151" i="46"/>
  <c r="F18" i="46" s="1"/>
  <c r="Z145" i="46"/>
  <c r="F12" i="46" s="1"/>
  <c r="Z147" i="46"/>
  <c r="F14" i="46" s="1"/>
  <c r="AJ390" i="23"/>
  <c r="S106" i="46"/>
  <c r="R33" i="52"/>
  <c r="W68" i="46"/>
  <c r="W63" i="46"/>
  <c r="W54" i="46"/>
  <c r="W64" i="46"/>
  <c r="W62" i="46"/>
  <c r="M32" i="45"/>
  <c r="M34" i="45" s="1"/>
  <c r="K32" i="45"/>
  <c r="K34" i="45" s="1"/>
  <c r="F32" i="45"/>
  <c r="F34" i="45" s="1"/>
  <c r="H19" i="43"/>
  <c r="L32" i="45"/>
  <c r="L34" i="45" s="1"/>
  <c r="J32" i="45"/>
  <c r="J34" i="45" s="1"/>
  <c r="Z33" i="52"/>
  <c r="N32" i="45"/>
  <c r="N34" i="45" s="1"/>
  <c r="V33" i="52"/>
  <c r="Y33" i="52"/>
  <c r="K34" i="52"/>
  <c r="AC33" i="52"/>
  <c r="O34" i="52"/>
  <c r="U33" i="52"/>
  <c r="H15" i="43"/>
  <c r="AA112" i="46"/>
  <c r="V98" i="46"/>
  <c r="S98" i="46"/>
  <c r="AA111" i="46"/>
  <c r="AA129" i="46"/>
  <c r="V100" i="46"/>
  <c r="S100" i="46"/>
  <c r="AA113" i="46"/>
  <c r="AA106" i="46"/>
  <c r="V103" i="46"/>
  <c r="S103" i="46"/>
  <c r="AA135" i="46"/>
  <c r="AA110" i="46"/>
  <c r="AA108" i="46"/>
  <c r="AA140" i="46"/>
  <c r="V99" i="46"/>
  <c r="S99" i="46"/>
  <c r="V95" i="46"/>
  <c r="S95" i="46"/>
  <c r="AA104" i="46"/>
  <c r="AA139" i="46"/>
  <c r="V97" i="46"/>
  <c r="S97" i="46"/>
  <c r="AA117" i="46"/>
  <c r="AA116" i="46"/>
  <c r="AA138" i="46"/>
  <c r="V102" i="46"/>
  <c r="S102" i="46"/>
  <c r="AA142" i="46"/>
  <c r="AA137" i="46"/>
  <c r="AA122" i="46"/>
  <c r="AA109" i="46"/>
  <c r="AA141" i="46"/>
  <c r="AA130" i="46"/>
  <c r="AA131" i="46"/>
  <c r="AA107" i="46"/>
  <c r="AA105" i="46"/>
  <c r="AA136" i="46"/>
  <c r="AA128" i="46"/>
  <c r="AA123" i="46"/>
  <c r="AA124" i="46"/>
  <c r="AA143" i="46"/>
  <c r="V101" i="46"/>
  <c r="S101" i="46"/>
  <c r="V96" i="46"/>
  <c r="S96" i="46"/>
  <c r="AA94" i="46"/>
  <c r="D10" i="43"/>
  <c r="F10" i="43"/>
  <c r="L78" i="48"/>
  <c r="P32" i="52"/>
  <c r="D35" i="52" s="1"/>
  <c r="AA35" i="52" s="1"/>
  <c r="AA33" i="52"/>
  <c r="X33" i="52"/>
  <c r="W33" i="52"/>
  <c r="AB33" i="52"/>
  <c r="F16" i="43"/>
  <c r="H32" i="45"/>
  <c r="O32" i="45"/>
  <c r="F17" i="43"/>
  <c r="D20" i="43"/>
  <c r="O48" i="46"/>
  <c r="F18" i="43"/>
  <c r="H18" i="43"/>
  <c r="F32" i="48"/>
  <c r="W32" i="48"/>
  <c r="S77" i="45"/>
  <c r="U77" i="45"/>
  <c r="W77" i="45"/>
  <c r="Y77" i="45"/>
  <c r="AA77" i="45"/>
  <c r="AC77" i="45"/>
  <c r="V77" i="45"/>
  <c r="T77" i="45"/>
  <c r="R77" i="45"/>
  <c r="X77" i="45"/>
  <c r="AB77" i="45"/>
  <c r="Z77" i="45"/>
  <c r="Y77" i="52"/>
  <c r="Z77" i="52"/>
  <c r="T77" i="52"/>
  <c r="AC77" i="52"/>
  <c r="S77" i="52"/>
  <c r="X77" i="52"/>
  <c r="R77" i="52"/>
  <c r="W77" i="52"/>
  <c r="AB77" i="52"/>
  <c r="U77" i="52"/>
  <c r="V77" i="52"/>
  <c r="AA77" i="52"/>
  <c r="AA48" i="46"/>
  <c r="AA52" i="46"/>
  <c r="AA68" i="46"/>
  <c r="AA50" i="46"/>
  <c r="AB390" i="23"/>
  <c r="AD390" i="23" s="1"/>
  <c r="AF389" i="23" s="1"/>
  <c r="AI389" i="23" s="1"/>
  <c r="W33" i="45" l="1"/>
  <c r="L35" i="52"/>
  <c r="N35" i="52" s="1"/>
  <c r="R33" i="45"/>
  <c r="S33" i="45"/>
  <c r="H20" i="43"/>
  <c r="F22" i="43" s="1"/>
  <c r="Y33" i="45"/>
  <c r="X33" i="45"/>
  <c r="AC33" i="45"/>
  <c r="O34" i="45"/>
  <c r="Z33" i="45"/>
  <c r="V33" i="45"/>
  <c r="H34" i="45"/>
  <c r="C11" i="43"/>
  <c r="AA292" i="23" s="1"/>
  <c r="AA291" i="23"/>
  <c r="AI291" i="23" s="1"/>
  <c r="O49" i="46"/>
  <c r="O50" i="46" s="1"/>
  <c r="R35" i="52"/>
  <c r="AA96" i="46"/>
  <c r="AA99" i="46"/>
  <c r="AA101" i="46"/>
  <c r="AA97" i="46"/>
  <c r="AA100" i="46"/>
  <c r="AA95" i="46"/>
  <c r="AA102" i="46"/>
  <c r="AA103" i="46"/>
  <c r="AA98" i="46"/>
  <c r="Z35" i="52"/>
  <c r="F35" i="52"/>
  <c r="S35" i="52"/>
  <c r="U35" i="52"/>
  <c r="X35" i="52"/>
  <c r="T35" i="52"/>
  <c r="AB33" i="45"/>
  <c r="Y35" i="52"/>
  <c r="AB35" i="52"/>
  <c r="W35" i="52"/>
  <c r="P32" i="45"/>
  <c r="D35" i="45" s="1"/>
  <c r="T33" i="45"/>
  <c r="AC35" i="52"/>
  <c r="V35" i="52"/>
  <c r="AA33" i="45"/>
  <c r="U33" i="45"/>
  <c r="F20" i="43"/>
  <c r="C22" i="43" s="1"/>
  <c r="D32" i="48"/>
  <c r="P75" i="52"/>
  <c r="P75" i="45"/>
  <c r="F393" i="23"/>
  <c r="D39" i="52" l="1"/>
  <c r="S400" i="23" s="1"/>
  <c r="L35" i="45"/>
  <c r="N35" i="45" s="1"/>
  <c r="J288" i="23"/>
  <c r="AJ40" i="23" s="1"/>
  <c r="B40" i="23" s="1"/>
  <c r="Z35" i="45"/>
  <c r="V35" i="45"/>
  <c r="AA35" i="45"/>
  <c r="S35" i="45"/>
  <c r="AB35" i="45"/>
  <c r="T35" i="45"/>
  <c r="R35" i="45"/>
  <c r="W35" i="45"/>
  <c r="U35" i="45"/>
  <c r="X35" i="45"/>
  <c r="F35" i="45"/>
  <c r="Y35" i="45"/>
  <c r="AC35" i="45"/>
  <c r="J22" i="43"/>
  <c r="G22" i="43" s="1"/>
  <c r="F293" i="23" s="1"/>
  <c r="Z40" i="23" s="1"/>
  <c r="P34" i="52"/>
  <c r="B71" i="45"/>
  <c r="B78" i="45"/>
  <c r="B71" i="52"/>
  <c r="B78" i="52"/>
  <c r="O51" i="46"/>
  <c r="H393" i="23"/>
  <c r="AL393" i="23"/>
  <c r="D39" i="45" l="1"/>
  <c r="S425" i="23" s="1"/>
  <c r="P34" i="45"/>
  <c r="O52" i="46"/>
  <c r="J393" i="23"/>
  <c r="AN393" i="23"/>
  <c r="O53" i="46" l="1"/>
  <c r="L393" i="23"/>
  <c r="AP393" i="23"/>
  <c r="O54" i="46" l="1"/>
  <c r="O55" i="46" s="1"/>
  <c r="O56" i="46" s="1"/>
  <c r="O57" i="46" s="1"/>
  <c r="O58" i="46" s="1"/>
  <c r="N393" i="23"/>
  <c r="AR393" i="23"/>
  <c r="O59" i="46" l="1"/>
  <c r="O60" i="46" s="1"/>
  <c r="O61" i="46" s="1"/>
  <c r="O62" i="46" s="1"/>
  <c r="O63" i="46" s="1"/>
  <c r="O64" i="46" s="1"/>
  <c r="O65" i="46" s="1"/>
  <c r="P393" i="23"/>
  <c r="AT393" i="23"/>
  <c r="O66" i="46" l="1"/>
  <c r="O67" i="46" s="1"/>
  <c r="O68" i="46" s="1"/>
  <c r="O69" i="46" s="1"/>
  <c r="O70" i="46" s="1"/>
  <c r="O71" i="46" s="1"/>
  <c r="O72" i="46" s="1"/>
  <c r="O73" i="46" s="1"/>
  <c r="O74" i="46" s="1"/>
  <c r="O75" i="46" s="1"/>
  <c r="O76" i="46" s="1"/>
  <c r="O77" i="46" s="1"/>
  <c r="O78" i="46" s="1"/>
  <c r="O79" i="46" s="1"/>
  <c r="O80" i="46" s="1"/>
  <c r="O81" i="46" s="1"/>
  <c r="O82" i="46" s="1"/>
  <c r="O83" i="46" s="1"/>
  <c r="O84" i="46" s="1"/>
  <c r="O85" i="46" s="1"/>
  <c r="O86" i="46" s="1"/>
  <c r="O87" i="46" s="1"/>
  <c r="O88" i="46" s="1"/>
  <c r="O89" i="46" s="1"/>
  <c r="O90" i="46" s="1"/>
  <c r="O91" i="46" s="1"/>
  <c r="O92" i="46" s="1"/>
  <c r="O93" i="46" s="1"/>
  <c r="O94" i="46" s="1"/>
  <c r="O95" i="46" s="1"/>
  <c r="O96" i="46" s="1"/>
  <c r="O97" i="46" s="1"/>
  <c r="O98" i="46" s="1"/>
  <c r="O99" i="46" s="1"/>
  <c r="O100" i="46" s="1"/>
  <c r="O101" i="46" s="1"/>
  <c r="O102" i="46" s="1"/>
  <c r="O103" i="46" s="1"/>
  <c r="O104" i="46" s="1"/>
  <c r="O105" i="46" s="1"/>
  <c r="O106" i="46" s="1"/>
  <c r="O107" i="46" s="1"/>
  <c r="O108" i="46" s="1"/>
  <c r="O109" i="46" s="1"/>
  <c r="O110" i="46" s="1"/>
  <c r="O111" i="46" s="1"/>
  <c r="O112" i="46" s="1"/>
  <c r="O113" i="46" s="1"/>
  <c r="O114" i="46" s="1"/>
  <c r="O115" i="46" s="1"/>
  <c r="O116" i="46" s="1"/>
  <c r="O117" i="46" s="1"/>
  <c r="O118" i="46" s="1"/>
  <c r="O119" i="46" s="1"/>
  <c r="O120" i="46" s="1"/>
  <c r="O121" i="46" s="1"/>
  <c r="O122" i="46" s="1"/>
  <c r="O123" i="46" s="1"/>
  <c r="O124" i="46" s="1"/>
  <c r="O125" i="46" s="1"/>
  <c r="O126" i="46" s="1"/>
  <c r="O127" i="46" s="1"/>
  <c r="O128" i="46" s="1"/>
  <c r="O129" i="46" s="1"/>
  <c r="O130" i="46" s="1"/>
  <c r="O131" i="46" s="1"/>
  <c r="O132" i="46" s="1"/>
  <c r="W58" i="46"/>
  <c r="R393" i="23"/>
  <c r="AV393" i="23"/>
  <c r="O133" i="46" l="1"/>
  <c r="W65" i="46"/>
  <c r="T393" i="23"/>
  <c r="AX393" i="23"/>
  <c r="W132" i="46" l="1"/>
  <c r="O134" i="46"/>
  <c r="V393" i="23"/>
  <c r="AZ393" i="23"/>
  <c r="AJ393" i="23" s="1"/>
  <c r="O135" i="46" l="1"/>
  <c r="O136" i="46" s="1"/>
  <c r="O137" i="46" s="1"/>
  <c r="O138" i="46" s="1"/>
  <c r="O139" i="46" s="1"/>
  <c r="O140" i="46" s="1"/>
  <c r="O141" i="46" s="1"/>
  <c r="O142" i="46" s="1"/>
  <c r="O143" i="46" s="1"/>
  <c r="B37" i="46" s="1"/>
  <c r="AA133" i="46"/>
  <c r="X393" i="23"/>
  <c r="J39" i="46" l="1"/>
  <c r="J40" i="46"/>
  <c r="K37" i="46"/>
  <c r="K62" i="46" s="1"/>
  <c r="C38" i="46"/>
  <c r="J38" i="46" s="1"/>
  <c r="AA134" i="46"/>
  <c r="J90" i="48"/>
  <c r="J97" i="48"/>
  <c r="J146" i="48"/>
  <c r="Z393" i="23"/>
  <c r="K47" i="46" l="1"/>
  <c r="AX11" i="48" s="1"/>
  <c r="AV11" i="48" s="1"/>
  <c r="K44" i="46"/>
  <c r="W44" i="46" s="1"/>
  <c r="AA62" i="46"/>
  <c r="X62" i="46"/>
  <c r="K101" i="46"/>
  <c r="AX65" i="48" s="1"/>
  <c r="K85" i="46"/>
  <c r="AX49" i="48" s="1"/>
  <c r="BL49" i="48" s="1"/>
  <c r="K121" i="46"/>
  <c r="AX85" i="48" s="1"/>
  <c r="K56" i="46"/>
  <c r="AX20" i="48" s="1"/>
  <c r="K57" i="46"/>
  <c r="K50" i="46"/>
  <c r="AX14" i="48" s="1"/>
  <c r="K52" i="46"/>
  <c r="AX16" i="48" s="1"/>
  <c r="K76" i="46"/>
  <c r="AX40" i="48" s="1"/>
  <c r="BN40" i="48" s="1"/>
  <c r="K55" i="46"/>
  <c r="K48" i="46"/>
  <c r="AX12" i="48" s="1"/>
  <c r="K93" i="46"/>
  <c r="AX57" i="48" s="1"/>
  <c r="K60" i="46"/>
  <c r="W60" i="46" s="1"/>
  <c r="K53" i="46"/>
  <c r="K51" i="46"/>
  <c r="AX15" i="48" s="1"/>
  <c r="K113" i="46"/>
  <c r="AX77" i="48" s="1"/>
  <c r="K61" i="46"/>
  <c r="W61" i="46" s="1"/>
  <c r="K54" i="46"/>
  <c r="K104" i="46"/>
  <c r="AX68" i="48" s="1"/>
  <c r="K98" i="46"/>
  <c r="AX62" i="48" s="1"/>
  <c r="K58" i="46"/>
  <c r="AX22" i="48" s="1"/>
  <c r="K59" i="46"/>
  <c r="AA59" i="46" s="1"/>
  <c r="K132" i="46"/>
  <c r="AX96" i="48" s="1"/>
  <c r="K45" i="46"/>
  <c r="AX9" i="48" s="1"/>
  <c r="K92" i="46"/>
  <c r="AX56" i="48" s="1"/>
  <c r="BF56" i="48" s="1"/>
  <c r="K49" i="46"/>
  <c r="AX13" i="48" s="1"/>
  <c r="K46" i="46"/>
  <c r="AX10" i="48" s="1"/>
  <c r="W57" i="46"/>
  <c r="X55" i="46"/>
  <c r="X54" i="46"/>
  <c r="W47" i="46"/>
  <c r="AA60" i="46"/>
  <c r="K96" i="46"/>
  <c r="AX60" i="48" s="1"/>
  <c r="K86" i="46"/>
  <c r="AX50" i="48" s="1"/>
  <c r="BH50" i="48" s="1"/>
  <c r="K65" i="46"/>
  <c r="K116" i="46"/>
  <c r="AX80" i="48" s="1"/>
  <c r="K125" i="46"/>
  <c r="AX89" i="48" s="1"/>
  <c r="K79" i="46"/>
  <c r="AX43" i="48" s="1"/>
  <c r="BJ43" i="48" s="1"/>
  <c r="K71" i="46"/>
  <c r="AX35" i="48" s="1"/>
  <c r="BN35" i="48" s="1"/>
  <c r="K99" i="46"/>
  <c r="AX63" i="48" s="1"/>
  <c r="K131" i="46"/>
  <c r="AX95" i="48" s="1"/>
  <c r="K70" i="46"/>
  <c r="AX34" i="48" s="1"/>
  <c r="BH34" i="48" s="1"/>
  <c r="K122" i="46"/>
  <c r="AX86" i="48" s="1"/>
  <c r="K140" i="46"/>
  <c r="AX104" i="48" s="1"/>
  <c r="K119" i="46"/>
  <c r="AX83" i="48" s="1"/>
  <c r="K88" i="46"/>
  <c r="AX52" i="48" s="1"/>
  <c r="AZ52" i="48" s="1"/>
  <c r="K143" i="46"/>
  <c r="AX107" i="48" s="1"/>
  <c r="K80" i="46"/>
  <c r="AX44" i="48" s="1"/>
  <c r="BF44" i="48" s="1"/>
  <c r="K73" i="46"/>
  <c r="AX37" i="48" s="1"/>
  <c r="BJ37" i="48" s="1"/>
  <c r="K67" i="46"/>
  <c r="K68" i="46"/>
  <c r="AX32" i="48" s="1"/>
  <c r="AZ32" i="48" s="1"/>
  <c r="K128" i="46"/>
  <c r="AX92" i="48" s="1"/>
  <c r="K75" i="46"/>
  <c r="AX39" i="48" s="1"/>
  <c r="BN39" i="48" s="1"/>
  <c r="K108" i="46"/>
  <c r="AX72" i="48" s="1"/>
  <c r="K63" i="46"/>
  <c r="K123" i="46"/>
  <c r="AX87" i="48" s="1"/>
  <c r="K114" i="46"/>
  <c r="AX78" i="48" s="1"/>
  <c r="K77" i="46"/>
  <c r="AX41" i="48" s="1"/>
  <c r="BH41" i="48" s="1"/>
  <c r="K135" i="46"/>
  <c r="AX99" i="48" s="1"/>
  <c r="K134" i="46"/>
  <c r="AX98" i="48" s="1"/>
  <c r="K129" i="46"/>
  <c r="AX93" i="48" s="1"/>
  <c r="K126" i="46"/>
  <c r="AX90" i="48" s="1"/>
  <c r="K142" i="46"/>
  <c r="AX106" i="48" s="1"/>
  <c r="K90" i="46"/>
  <c r="AX54" i="48" s="1"/>
  <c r="BB54" i="48" s="1"/>
  <c r="K89" i="46"/>
  <c r="AX53" i="48" s="1"/>
  <c r="BR53" i="48" s="1"/>
  <c r="K133" i="46"/>
  <c r="AX97" i="48" s="1"/>
  <c r="K69" i="46"/>
  <c r="AX33" i="48" s="1"/>
  <c r="BN33" i="48" s="1"/>
  <c r="K136" i="46"/>
  <c r="AX100" i="48" s="1"/>
  <c r="K72" i="46"/>
  <c r="AX36" i="48" s="1"/>
  <c r="BL36" i="48" s="1"/>
  <c r="K82" i="46"/>
  <c r="AX46" i="48" s="1"/>
  <c r="BL46" i="48" s="1"/>
  <c r="K141" i="46"/>
  <c r="AX105" i="48" s="1"/>
  <c r="K138" i="46"/>
  <c r="AX102" i="48" s="1"/>
  <c r="K137" i="46"/>
  <c r="AX101" i="48" s="1"/>
  <c r="K83" i="46"/>
  <c r="AX47" i="48" s="1"/>
  <c r="BJ47" i="48" s="1"/>
  <c r="K107" i="46"/>
  <c r="AX71" i="48" s="1"/>
  <c r="K118" i="46"/>
  <c r="AX82" i="48" s="1"/>
  <c r="K103" i="46"/>
  <c r="AX67" i="48" s="1"/>
  <c r="K97" i="46"/>
  <c r="AX61" i="48" s="1"/>
  <c r="K111" i="46"/>
  <c r="AX75" i="48" s="1"/>
  <c r="K100" i="46"/>
  <c r="AX64" i="48" s="1"/>
  <c r="K139" i="46"/>
  <c r="AX103" i="48" s="1"/>
  <c r="K110" i="46"/>
  <c r="AX74" i="48" s="1"/>
  <c r="K64" i="46"/>
  <c r="K91" i="46"/>
  <c r="AX55" i="48" s="1"/>
  <c r="BR55" i="48" s="1"/>
  <c r="K95" i="46"/>
  <c r="AX59" i="48" s="1"/>
  <c r="K127" i="46"/>
  <c r="AX91" i="48" s="1"/>
  <c r="K74" i="46"/>
  <c r="AX38" i="48" s="1"/>
  <c r="AV38" i="48" s="1"/>
  <c r="K117" i="46"/>
  <c r="AX81" i="48" s="1"/>
  <c r="K120" i="46"/>
  <c r="AX84" i="48" s="1"/>
  <c r="K130" i="46"/>
  <c r="AX94" i="48" s="1"/>
  <c r="K66" i="46"/>
  <c r="K109" i="46"/>
  <c r="AX73" i="48" s="1"/>
  <c r="K112" i="46"/>
  <c r="AX76" i="48" s="1"/>
  <c r="K106" i="46"/>
  <c r="AX70" i="48" s="1"/>
  <c r="K105" i="46"/>
  <c r="AX69" i="48" s="1"/>
  <c r="K124" i="46"/>
  <c r="AX88" i="48" s="1"/>
  <c r="K115" i="46"/>
  <c r="AX79" i="48" s="1"/>
  <c r="K102" i="46"/>
  <c r="AX66" i="48" s="1"/>
  <c r="K81" i="46"/>
  <c r="AX45" i="48" s="1"/>
  <c r="BR45" i="48" s="1"/>
  <c r="K84" i="46"/>
  <c r="AX48" i="48" s="1"/>
  <c r="BN48" i="48" s="1"/>
  <c r="K87" i="46"/>
  <c r="AX51" i="48" s="1"/>
  <c r="AZ51" i="48" s="1"/>
  <c r="K94" i="46"/>
  <c r="AX58" i="48" s="1"/>
  <c r="K78" i="46"/>
  <c r="AX42" i="48" s="1"/>
  <c r="BL42" i="48" s="1"/>
  <c r="AX26" i="48"/>
  <c r="AJ146" i="48"/>
  <c r="M146" i="48" s="1"/>
  <c r="AJ97" i="48"/>
  <c r="M97" i="48" s="1"/>
  <c r="AJ90" i="48"/>
  <c r="M90" i="48" s="1"/>
  <c r="W47" i="48"/>
  <c r="Q47" i="48"/>
  <c r="N47" i="48" s="1"/>
  <c r="AB393" i="23"/>
  <c r="BD67" i="48" l="1"/>
  <c r="BJ67" i="48"/>
  <c r="BN67" i="48"/>
  <c r="BP67" i="48"/>
  <c r="BH67" i="48"/>
  <c r="BR67" i="48"/>
  <c r="AZ67" i="48"/>
  <c r="BB67" i="48"/>
  <c r="BF67" i="48"/>
  <c r="BL67" i="48"/>
  <c r="AV67" i="48"/>
  <c r="BL73" i="48"/>
  <c r="BD73" i="48"/>
  <c r="BN73" i="48"/>
  <c r="AZ73" i="48"/>
  <c r="BH73" i="48"/>
  <c r="BF73" i="48"/>
  <c r="BJ73" i="48"/>
  <c r="BP73" i="48"/>
  <c r="BB73" i="48"/>
  <c r="BR73" i="48"/>
  <c r="AV73" i="48"/>
  <c r="BN82" i="48"/>
  <c r="BF82" i="48"/>
  <c r="BH82" i="48"/>
  <c r="BP82" i="48"/>
  <c r="AZ82" i="48"/>
  <c r="BD82" i="48"/>
  <c r="BL82" i="48"/>
  <c r="BB82" i="48"/>
  <c r="BJ82" i="48"/>
  <c r="BR82" i="48"/>
  <c r="AV82" i="48"/>
  <c r="BD100" i="48"/>
  <c r="BR100" i="48"/>
  <c r="BF100" i="48"/>
  <c r="BB100" i="48"/>
  <c r="BH100" i="48"/>
  <c r="BJ100" i="48"/>
  <c r="BL100" i="48"/>
  <c r="BN100" i="48"/>
  <c r="AZ100" i="48"/>
  <c r="BP100" i="48"/>
  <c r="AV100" i="48"/>
  <c r="BH98" i="48"/>
  <c r="BP98" i="48"/>
  <c r="AZ98" i="48"/>
  <c r="BD98" i="48"/>
  <c r="BL98" i="48"/>
  <c r="BN98" i="48"/>
  <c r="BF98" i="48"/>
  <c r="BB98" i="48"/>
  <c r="BJ98" i="48"/>
  <c r="BR98" i="48"/>
  <c r="AV98" i="48"/>
  <c r="BJ92" i="48"/>
  <c r="BL92" i="48"/>
  <c r="BH92" i="48"/>
  <c r="BN92" i="48"/>
  <c r="AZ92" i="48"/>
  <c r="BP92" i="48"/>
  <c r="BB92" i="48"/>
  <c r="BR92" i="48"/>
  <c r="BD92" i="48"/>
  <c r="BF92" i="48"/>
  <c r="AV92" i="48"/>
  <c r="BD104" i="48"/>
  <c r="BF104" i="48"/>
  <c r="BH104" i="48"/>
  <c r="BJ104" i="48"/>
  <c r="BB104" i="48"/>
  <c r="BL104" i="48"/>
  <c r="BN104" i="48"/>
  <c r="AZ104" i="48"/>
  <c r="BP104" i="48"/>
  <c r="BR104" i="48"/>
  <c r="AV104" i="48"/>
  <c r="BB80" i="48"/>
  <c r="BR80" i="48"/>
  <c r="BD80" i="48"/>
  <c r="BF80" i="48"/>
  <c r="BH80" i="48"/>
  <c r="BJ80" i="48"/>
  <c r="BL80" i="48"/>
  <c r="AZ80" i="48"/>
  <c r="BN80" i="48"/>
  <c r="BP80" i="48"/>
  <c r="AV80" i="48"/>
  <c r="BF62" i="48"/>
  <c r="BH62" i="48"/>
  <c r="BN62" i="48"/>
  <c r="BP62" i="48"/>
  <c r="AZ62" i="48"/>
  <c r="BL62" i="48"/>
  <c r="BJ62" i="48"/>
  <c r="BB62" i="48"/>
  <c r="BR62" i="48"/>
  <c r="BD62" i="48"/>
  <c r="AV62" i="48"/>
  <c r="BD57" i="48"/>
  <c r="AV57" i="48"/>
  <c r="BH57" i="48"/>
  <c r="AZ57" i="48"/>
  <c r="BN57" i="48"/>
  <c r="BF57" i="48"/>
  <c r="BL57" i="48"/>
  <c r="BB57" i="48"/>
  <c r="BJ57" i="48"/>
  <c r="BP57" i="48"/>
  <c r="BR57" i="48"/>
  <c r="BD85" i="48"/>
  <c r="BF85" i="48"/>
  <c r="BL85" i="48"/>
  <c r="BN85" i="48"/>
  <c r="BB85" i="48"/>
  <c r="BJ85" i="48"/>
  <c r="BR85" i="48"/>
  <c r="AZ85" i="48"/>
  <c r="BH85" i="48"/>
  <c r="BP85" i="48"/>
  <c r="AV85" i="48"/>
  <c r="BD83" i="48"/>
  <c r="BH83" i="48"/>
  <c r="BJ83" i="48"/>
  <c r="BN83" i="48"/>
  <c r="BP83" i="48"/>
  <c r="BR83" i="48"/>
  <c r="AZ83" i="48"/>
  <c r="BF83" i="48"/>
  <c r="BB83" i="48"/>
  <c r="BL83" i="48"/>
  <c r="AV83" i="48"/>
  <c r="BH99" i="48"/>
  <c r="BF99" i="48"/>
  <c r="BP99" i="48"/>
  <c r="BN99" i="48"/>
  <c r="BJ99" i="48"/>
  <c r="BR99" i="48"/>
  <c r="BB99" i="48"/>
  <c r="AZ99" i="48"/>
  <c r="BD99" i="48"/>
  <c r="BL99" i="48"/>
  <c r="AV99" i="48"/>
  <c r="AZ86" i="48"/>
  <c r="BF86" i="48"/>
  <c r="BH86" i="48"/>
  <c r="BN86" i="48"/>
  <c r="BP86" i="48"/>
  <c r="BB86" i="48"/>
  <c r="BJ86" i="48"/>
  <c r="BR86" i="48"/>
  <c r="BD86" i="48"/>
  <c r="BL86" i="48"/>
  <c r="AV86" i="48"/>
  <c r="BD68" i="48"/>
  <c r="BF68" i="48"/>
  <c r="BB68" i="48"/>
  <c r="BH68" i="48"/>
  <c r="BJ68" i="48"/>
  <c r="BR68" i="48"/>
  <c r="BL68" i="48"/>
  <c r="BN68" i="48"/>
  <c r="AZ68" i="48"/>
  <c r="BP68" i="48"/>
  <c r="AV68" i="48"/>
  <c r="BB76" i="48"/>
  <c r="BR76" i="48"/>
  <c r="BD76" i="48"/>
  <c r="BF76" i="48"/>
  <c r="BH76" i="48"/>
  <c r="AZ76" i="48"/>
  <c r="BJ76" i="48"/>
  <c r="BP76" i="48"/>
  <c r="BL76" i="48"/>
  <c r="BN76" i="48"/>
  <c r="AV76" i="48"/>
  <c r="BL89" i="48"/>
  <c r="BB89" i="48"/>
  <c r="BD89" i="48"/>
  <c r="AZ89" i="48"/>
  <c r="BN89" i="48"/>
  <c r="BH89" i="48"/>
  <c r="BP89" i="48"/>
  <c r="BF89" i="48"/>
  <c r="BJ89" i="48"/>
  <c r="BR89" i="48"/>
  <c r="AV89" i="48"/>
  <c r="AZ66" i="48"/>
  <c r="BF66" i="48"/>
  <c r="BN66" i="48"/>
  <c r="BP66" i="48"/>
  <c r="BB66" i="48"/>
  <c r="BH66" i="48"/>
  <c r="BL66" i="48"/>
  <c r="BJ66" i="48"/>
  <c r="BR66" i="48"/>
  <c r="BD66" i="48"/>
  <c r="AV66" i="48"/>
  <c r="BH94" i="48"/>
  <c r="AZ94" i="48"/>
  <c r="BD94" i="48"/>
  <c r="BN94" i="48"/>
  <c r="BP94" i="48"/>
  <c r="BB94" i="48"/>
  <c r="BJ94" i="48"/>
  <c r="BR94" i="48"/>
  <c r="BL94" i="48"/>
  <c r="BF94" i="48"/>
  <c r="AV94" i="48"/>
  <c r="AZ74" i="48"/>
  <c r="BH74" i="48"/>
  <c r="BN74" i="48"/>
  <c r="BL74" i="48"/>
  <c r="BP74" i="48"/>
  <c r="BF74" i="48"/>
  <c r="BB74" i="48"/>
  <c r="BJ74" i="48"/>
  <c r="BR74" i="48"/>
  <c r="BD74" i="48"/>
  <c r="AV74" i="48"/>
  <c r="BR97" i="48"/>
  <c r="BD97" i="48"/>
  <c r="BN97" i="48"/>
  <c r="BL97" i="48"/>
  <c r="BP97" i="48"/>
  <c r="BF97" i="48"/>
  <c r="AZ97" i="48"/>
  <c r="BJ97" i="48"/>
  <c r="BH97" i="48"/>
  <c r="BB97" i="48"/>
  <c r="AV97" i="48"/>
  <c r="BD65" i="48"/>
  <c r="BF65" i="48"/>
  <c r="BL65" i="48"/>
  <c r="BN65" i="48"/>
  <c r="BB65" i="48"/>
  <c r="BR65" i="48"/>
  <c r="AZ65" i="48"/>
  <c r="BH65" i="48"/>
  <c r="BP65" i="48"/>
  <c r="BJ65" i="48"/>
  <c r="AV65" i="48"/>
  <c r="BD79" i="48"/>
  <c r="BH79" i="48"/>
  <c r="BJ79" i="48"/>
  <c r="BF79" i="48"/>
  <c r="BN79" i="48"/>
  <c r="BP79" i="48"/>
  <c r="BR79" i="48"/>
  <c r="AZ79" i="48"/>
  <c r="BB79" i="48"/>
  <c r="BL79" i="48"/>
  <c r="AV79" i="48"/>
  <c r="BB84" i="48"/>
  <c r="BR84" i="48"/>
  <c r="BD84" i="48"/>
  <c r="BP84" i="48"/>
  <c r="BF84" i="48"/>
  <c r="AZ84" i="48"/>
  <c r="BH84" i="48"/>
  <c r="BJ84" i="48"/>
  <c r="BL84" i="48"/>
  <c r="BN84" i="48"/>
  <c r="AV84" i="48"/>
  <c r="BD103" i="48"/>
  <c r="BJ103" i="48"/>
  <c r="BN103" i="48"/>
  <c r="BP103" i="48"/>
  <c r="BH103" i="48"/>
  <c r="BR103" i="48"/>
  <c r="AZ103" i="48"/>
  <c r="BB103" i="48"/>
  <c r="BF103" i="48"/>
  <c r="BL103" i="48"/>
  <c r="AV103" i="48"/>
  <c r="AZ101" i="48"/>
  <c r="BD101" i="48"/>
  <c r="BF101" i="48"/>
  <c r="BL101" i="48"/>
  <c r="BN101" i="48"/>
  <c r="BP101" i="48"/>
  <c r="BH101" i="48"/>
  <c r="BR101" i="48"/>
  <c r="BJ101" i="48"/>
  <c r="BB101" i="48"/>
  <c r="AV101" i="48"/>
  <c r="AZ78" i="48"/>
  <c r="BH78" i="48"/>
  <c r="BN78" i="48"/>
  <c r="BL78" i="48"/>
  <c r="BP78" i="48"/>
  <c r="BB78" i="48"/>
  <c r="BF78" i="48"/>
  <c r="BJ78" i="48"/>
  <c r="BR78" i="48"/>
  <c r="BD78" i="48"/>
  <c r="AV78" i="48"/>
  <c r="BH95" i="48"/>
  <c r="BF95" i="48"/>
  <c r="BP95" i="48"/>
  <c r="BN95" i="48"/>
  <c r="BJ95" i="48"/>
  <c r="BD95" i="48"/>
  <c r="BB95" i="48"/>
  <c r="BL95" i="48"/>
  <c r="AZ95" i="48"/>
  <c r="BR95" i="48"/>
  <c r="AV95" i="48"/>
  <c r="AZ60" i="48"/>
  <c r="BP60" i="48"/>
  <c r="BN60" i="48"/>
  <c r="BB60" i="48"/>
  <c r="BR60" i="48"/>
  <c r="BD60" i="48"/>
  <c r="BF60" i="48"/>
  <c r="BH60" i="48"/>
  <c r="BJ60" i="48"/>
  <c r="BL60" i="48"/>
  <c r="AV60" i="48"/>
  <c r="BD59" i="48"/>
  <c r="BF59" i="48"/>
  <c r="BH59" i="48"/>
  <c r="BJ59" i="48"/>
  <c r="BN59" i="48"/>
  <c r="BP59" i="48"/>
  <c r="BR59" i="48"/>
  <c r="AZ59" i="48"/>
  <c r="BB59" i="48"/>
  <c r="BL59" i="48"/>
  <c r="AV59" i="48"/>
  <c r="BN88" i="48"/>
  <c r="AZ88" i="48"/>
  <c r="BP88" i="48"/>
  <c r="BB88" i="48"/>
  <c r="BR88" i="48"/>
  <c r="BD88" i="48"/>
  <c r="BF88" i="48"/>
  <c r="BH88" i="48"/>
  <c r="BL88" i="48"/>
  <c r="BJ88" i="48"/>
  <c r="AV88" i="48"/>
  <c r="BD81" i="48"/>
  <c r="BF81" i="48"/>
  <c r="BL81" i="48"/>
  <c r="BB81" i="48"/>
  <c r="BR81" i="48"/>
  <c r="AZ81" i="48"/>
  <c r="BH81" i="48"/>
  <c r="BN81" i="48"/>
  <c r="BP81" i="48"/>
  <c r="BJ81" i="48"/>
  <c r="AV81" i="48"/>
  <c r="BB64" i="48"/>
  <c r="BR64" i="48"/>
  <c r="BD64" i="48"/>
  <c r="AZ64" i="48"/>
  <c r="BF64" i="48"/>
  <c r="BH64" i="48"/>
  <c r="BJ64" i="48"/>
  <c r="BL64" i="48"/>
  <c r="BP64" i="48"/>
  <c r="BN64" i="48"/>
  <c r="AV64" i="48"/>
  <c r="AZ102" i="48"/>
  <c r="BF102" i="48"/>
  <c r="BN102" i="48"/>
  <c r="BH102" i="48"/>
  <c r="BR102" i="48"/>
  <c r="BP102" i="48"/>
  <c r="BL102" i="48"/>
  <c r="BD102" i="48"/>
  <c r="BJ102" i="48"/>
  <c r="BB102" i="48"/>
  <c r="AV102" i="48"/>
  <c r="BD87" i="48"/>
  <c r="BB87" i="48"/>
  <c r="BF87" i="48"/>
  <c r="BH87" i="48"/>
  <c r="BJ87" i="48"/>
  <c r="BN87" i="48"/>
  <c r="AZ87" i="48"/>
  <c r="BP87" i="48"/>
  <c r="BR87" i="48"/>
  <c r="BL87" i="48"/>
  <c r="AV87" i="48"/>
  <c r="BD63" i="48"/>
  <c r="BH63" i="48"/>
  <c r="BJ63" i="48"/>
  <c r="BN63" i="48"/>
  <c r="BF63" i="48"/>
  <c r="BP63" i="48"/>
  <c r="BR63" i="48"/>
  <c r="AZ63" i="48"/>
  <c r="BB63" i="48"/>
  <c r="BL63" i="48"/>
  <c r="AV63" i="48"/>
  <c r="BD77" i="48"/>
  <c r="BL77" i="48"/>
  <c r="BN77" i="48"/>
  <c r="AZ77" i="48"/>
  <c r="BF77" i="48"/>
  <c r="BH77" i="48"/>
  <c r="BP77" i="48"/>
  <c r="BB77" i="48"/>
  <c r="BJ77" i="48"/>
  <c r="BR77" i="48"/>
  <c r="AV77" i="48"/>
  <c r="BR93" i="48"/>
  <c r="BN93" i="48"/>
  <c r="BD93" i="48"/>
  <c r="AZ93" i="48"/>
  <c r="BH93" i="48"/>
  <c r="BP93" i="48"/>
  <c r="BL93" i="48"/>
  <c r="BB93" i="48"/>
  <c r="BF93" i="48"/>
  <c r="BJ93" i="48"/>
  <c r="AV93" i="48"/>
  <c r="BD71" i="48"/>
  <c r="BB71" i="48"/>
  <c r="AZ71" i="48"/>
  <c r="BF71" i="48"/>
  <c r="BH71" i="48"/>
  <c r="BJ71" i="48"/>
  <c r="BN71" i="48"/>
  <c r="BP71" i="48"/>
  <c r="BR71" i="48"/>
  <c r="BL71" i="48"/>
  <c r="AV71" i="48"/>
  <c r="BL69" i="48"/>
  <c r="BD69" i="48"/>
  <c r="BR69" i="48"/>
  <c r="BH69" i="48"/>
  <c r="BP69" i="48"/>
  <c r="BF69" i="48"/>
  <c r="AZ69" i="48"/>
  <c r="BN69" i="48"/>
  <c r="BJ69" i="48"/>
  <c r="BB69" i="48"/>
  <c r="AV69" i="48"/>
  <c r="BD75" i="48"/>
  <c r="BH75" i="48"/>
  <c r="BJ75" i="48"/>
  <c r="BN75" i="48"/>
  <c r="BP75" i="48"/>
  <c r="BR75" i="48"/>
  <c r="AZ75" i="48"/>
  <c r="BF75" i="48"/>
  <c r="BB75" i="48"/>
  <c r="BL75" i="48"/>
  <c r="AV75" i="48"/>
  <c r="AZ105" i="48"/>
  <c r="BD105" i="48"/>
  <c r="BF105" i="48"/>
  <c r="BL105" i="48"/>
  <c r="BN105" i="48"/>
  <c r="BR105" i="48"/>
  <c r="BJ105" i="48"/>
  <c r="BB105" i="48"/>
  <c r="BP105" i="48"/>
  <c r="BH105" i="48"/>
  <c r="AV105" i="48"/>
  <c r="AZ106" i="48"/>
  <c r="BF106" i="48"/>
  <c r="BN106" i="48"/>
  <c r="BJ106" i="48"/>
  <c r="BP106" i="48"/>
  <c r="BB106" i="48"/>
  <c r="BL106" i="48"/>
  <c r="BH106" i="48"/>
  <c r="BR106" i="48"/>
  <c r="BD106" i="48"/>
  <c r="AV106" i="48"/>
  <c r="BD107" i="48"/>
  <c r="BJ107" i="48"/>
  <c r="BN107" i="48"/>
  <c r="BP107" i="48"/>
  <c r="BH107" i="48"/>
  <c r="BR107" i="48"/>
  <c r="AZ107" i="48"/>
  <c r="BB107" i="48"/>
  <c r="BF107" i="48"/>
  <c r="BL107" i="48"/>
  <c r="AV107" i="48"/>
  <c r="BF96" i="48"/>
  <c r="BH96" i="48"/>
  <c r="BJ96" i="48"/>
  <c r="BL96" i="48"/>
  <c r="BD96" i="48"/>
  <c r="BN96" i="48"/>
  <c r="AZ96" i="48"/>
  <c r="BP96" i="48"/>
  <c r="BB96" i="48"/>
  <c r="BR96" i="48"/>
  <c r="AV96" i="48"/>
  <c r="AZ58" i="48"/>
  <c r="BH58" i="48"/>
  <c r="BP58" i="48"/>
  <c r="BN58" i="48"/>
  <c r="BF58" i="48"/>
  <c r="BB58" i="48"/>
  <c r="BL58" i="48"/>
  <c r="BJ58" i="48"/>
  <c r="BR58" i="48"/>
  <c r="BD58" i="48"/>
  <c r="AV58" i="48"/>
  <c r="AZ70" i="48"/>
  <c r="BH70" i="48"/>
  <c r="BF70" i="48"/>
  <c r="BR70" i="48"/>
  <c r="BD70" i="48"/>
  <c r="BL70" i="48"/>
  <c r="BJ70" i="48"/>
  <c r="BN70" i="48"/>
  <c r="BB70" i="48"/>
  <c r="BP70" i="48"/>
  <c r="AV70" i="48"/>
  <c r="BD91" i="48"/>
  <c r="BR91" i="48"/>
  <c r="AZ91" i="48"/>
  <c r="BB91" i="48"/>
  <c r="BP91" i="48"/>
  <c r="BF91" i="48"/>
  <c r="BH91" i="48"/>
  <c r="BJ91" i="48"/>
  <c r="BN91" i="48"/>
  <c r="BL91" i="48"/>
  <c r="AV91" i="48"/>
  <c r="BL61" i="48"/>
  <c r="BD61" i="48"/>
  <c r="BH61" i="48"/>
  <c r="BP61" i="48"/>
  <c r="BF61" i="48"/>
  <c r="BB61" i="48"/>
  <c r="BN61" i="48"/>
  <c r="BJ61" i="48"/>
  <c r="BR61" i="48"/>
  <c r="AZ61" i="48"/>
  <c r="AV61" i="48"/>
  <c r="BH90" i="48"/>
  <c r="BB90" i="48"/>
  <c r="BP90" i="48"/>
  <c r="BJ90" i="48"/>
  <c r="AZ90" i="48"/>
  <c r="BR90" i="48"/>
  <c r="BD90" i="48"/>
  <c r="BL90" i="48"/>
  <c r="BN90" i="48"/>
  <c r="BF90" i="48"/>
  <c r="AV90" i="48"/>
  <c r="BN72" i="48"/>
  <c r="AZ72" i="48"/>
  <c r="BP72" i="48"/>
  <c r="BL72" i="48"/>
  <c r="BB72" i="48"/>
  <c r="BR72" i="48"/>
  <c r="BD72" i="48"/>
  <c r="BF72" i="48"/>
  <c r="BH72" i="48"/>
  <c r="BJ72" i="48"/>
  <c r="AV72" i="48"/>
  <c r="AX8" i="48"/>
  <c r="AX17" i="48"/>
  <c r="BL17" i="48" s="1"/>
  <c r="AA53" i="46"/>
  <c r="AX31" i="48"/>
  <c r="AV31" i="48" s="1"/>
  <c r="AA67" i="46"/>
  <c r="AX18" i="48"/>
  <c r="AV18" i="48" s="1"/>
  <c r="AA54" i="46"/>
  <c r="W53" i="46"/>
  <c r="AX19" i="48"/>
  <c r="BN19" i="48" s="1"/>
  <c r="AA55" i="46"/>
  <c r="W50" i="46"/>
  <c r="W52" i="46"/>
  <c r="W48" i="46"/>
  <c r="W51" i="46"/>
  <c r="AX25" i="48"/>
  <c r="AV25" i="48" s="1"/>
  <c r="X61" i="46"/>
  <c r="AA58" i="46"/>
  <c r="AX30" i="48"/>
  <c r="AV30" i="48" s="1"/>
  <c r="AA66" i="46"/>
  <c r="AA61" i="46"/>
  <c r="AX24" i="48"/>
  <c r="BL24" i="48" s="1"/>
  <c r="X60" i="46"/>
  <c r="AX23" i="48"/>
  <c r="BR23" i="48" s="1"/>
  <c r="W59" i="46"/>
  <c r="AA56" i="46"/>
  <c r="W46" i="46"/>
  <c r="W49" i="46"/>
  <c r="W45" i="46"/>
  <c r="AX28" i="48"/>
  <c r="BL28" i="48" s="1"/>
  <c r="AA64" i="46"/>
  <c r="AX27" i="48"/>
  <c r="BJ27" i="48" s="1"/>
  <c r="AA63" i="46"/>
  <c r="AX29" i="48"/>
  <c r="AV29" i="48" s="1"/>
  <c r="AA65" i="46"/>
  <c r="AX21" i="48"/>
  <c r="AV21" i="48" s="1"/>
  <c r="AA57" i="46"/>
  <c r="BN37" i="48"/>
  <c r="BN49" i="48"/>
  <c r="AZ49" i="48"/>
  <c r="BD49" i="48"/>
  <c r="BR49" i="48"/>
  <c r="BH49" i="48"/>
  <c r="BH40" i="48"/>
  <c r="BJ56" i="48"/>
  <c r="BR32" i="48"/>
  <c r="BB49" i="48"/>
  <c r="AV49" i="48"/>
  <c r="BF49" i="48"/>
  <c r="BP49" i="48"/>
  <c r="BJ49" i="48"/>
  <c r="BF40" i="48"/>
  <c r="BN56" i="48"/>
  <c r="BB40" i="48"/>
  <c r="BB56" i="48"/>
  <c r="BD40" i="48"/>
  <c r="BR56" i="48"/>
  <c r="BR11" i="48"/>
  <c r="AV20" i="48"/>
  <c r="BR20" i="48"/>
  <c r="BL20" i="48"/>
  <c r="BL11" i="48"/>
  <c r="BJ39" i="48"/>
  <c r="AV40" i="48"/>
  <c r="BL40" i="48"/>
  <c r="BL56" i="48"/>
  <c r="AV56" i="48"/>
  <c r="BH11" i="48"/>
  <c r="BP40" i="48"/>
  <c r="AZ40" i="48"/>
  <c r="BJ40" i="48"/>
  <c r="BD56" i="48"/>
  <c r="BH56" i="48"/>
  <c r="BB37" i="48"/>
  <c r="BF11" i="48"/>
  <c r="BN15" i="48"/>
  <c r="AZ15" i="48"/>
  <c r="BF15" i="48"/>
  <c r="BJ15" i="48"/>
  <c r="BL12" i="48"/>
  <c r="AZ12" i="48"/>
  <c r="BH12" i="48"/>
  <c r="BN12" i="48"/>
  <c r="AV12" i="48"/>
  <c r="BF12" i="48"/>
  <c r="BR12" i="48"/>
  <c r="BJ12" i="48"/>
  <c r="BL14" i="48"/>
  <c r="BJ14" i="48"/>
  <c r="BR14" i="48"/>
  <c r="BH35" i="48"/>
  <c r="BJ11" i="48"/>
  <c r="BN11" i="48"/>
  <c r="BR40" i="48"/>
  <c r="BP56" i="48"/>
  <c r="AZ56" i="48"/>
  <c r="AZ11" i="48"/>
  <c r="BR16" i="48"/>
  <c r="BJ16" i="48"/>
  <c r="BH16" i="48"/>
  <c r="BL16" i="48"/>
  <c r="AV16" i="48"/>
  <c r="BN16" i="48"/>
  <c r="BF16" i="48"/>
  <c r="AZ16" i="48"/>
  <c r="BP16" i="48"/>
  <c r="BJ22" i="48"/>
  <c r="BR22" i="48"/>
  <c r="AZ22" i="48"/>
  <c r="BF22" i="48"/>
  <c r="BN22" i="48"/>
  <c r="AV22" i="48"/>
  <c r="BL22" i="48"/>
  <c r="AZ13" i="48"/>
  <c r="BN13" i="48"/>
  <c r="BH13" i="48"/>
  <c r="BL13" i="48"/>
  <c r="BF13" i="48"/>
  <c r="AV13" i="48"/>
  <c r="BJ13" i="48"/>
  <c r="BR13" i="48"/>
  <c r="BR35" i="48"/>
  <c r="BL32" i="48"/>
  <c r="AV32" i="48"/>
  <c r="BN14" i="48"/>
  <c r="BF14" i="48"/>
  <c r="BH20" i="48"/>
  <c r="BL35" i="48"/>
  <c r="BJ32" i="48"/>
  <c r="BH14" i="48"/>
  <c r="AV14" i="48"/>
  <c r="BF20" i="48"/>
  <c r="AZ20" i="48"/>
  <c r="BD35" i="48"/>
  <c r="AV35" i="48"/>
  <c r="BN32" i="48"/>
  <c r="AZ14" i="48"/>
  <c r="BJ20" i="48"/>
  <c r="BL9" i="48"/>
  <c r="BJ9" i="48"/>
  <c r="AV9" i="48"/>
  <c r="BF9" i="48"/>
  <c r="BH9" i="48"/>
  <c r="AZ9" i="48"/>
  <c r="BN9" i="48"/>
  <c r="BR9" i="48"/>
  <c r="BL10" i="48"/>
  <c r="AZ10" i="48"/>
  <c r="BF10" i="48"/>
  <c r="BR10" i="48"/>
  <c r="BN10" i="48"/>
  <c r="AV10" i="48"/>
  <c r="BJ10" i="48"/>
  <c r="BL15" i="48"/>
  <c r="BH32" i="48"/>
  <c r="BN20" i="48"/>
  <c r="BR15" i="48"/>
  <c r="AV15" i="48"/>
  <c r="BH22" i="48"/>
  <c r="BH10" i="48"/>
  <c r="BH15" i="48"/>
  <c r="BP43" i="48"/>
  <c r="BR34" i="48"/>
  <c r="BR52" i="48"/>
  <c r="BL41" i="48"/>
  <c r="BD15" i="48"/>
  <c r="BD16" i="48"/>
  <c r="BB9" i="48"/>
  <c r="BP14" i="48"/>
  <c r="BD14" i="48"/>
  <c r="BD10" i="48"/>
  <c r="BP15" i="48"/>
  <c r="BD9" i="48"/>
  <c r="BD11" i="48"/>
  <c r="BB10" i="48"/>
  <c r="BD13" i="48"/>
  <c r="BP13" i="48"/>
  <c r="BP12" i="48"/>
  <c r="BD12" i="48"/>
  <c r="BB15" i="48"/>
  <c r="BB14" i="48"/>
  <c r="BP11" i="48"/>
  <c r="BP10" i="48"/>
  <c r="BB16" i="48"/>
  <c r="BB13" i="48"/>
  <c r="BB12" i="48"/>
  <c r="BP9" i="48"/>
  <c r="BB11" i="48"/>
  <c r="BB34" i="48"/>
  <c r="AV34" i="48"/>
  <c r="BB50" i="48"/>
  <c r="BR43" i="48"/>
  <c r="BD34" i="48"/>
  <c r="BL34" i="48"/>
  <c r="BN50" i="48"/>
  <c r="BN43" i="48"/>
  <c r="BN34" i="48"/>
  <c r="BJ50" i="48"/>
  <c r="AZ34" i="48"/>
  <c r="BJ34" i="48"/>
  <c r="AV50" i="48"/>
  <c r="BR50" i="48"/>
  <c r="AV41" i="48"/>
  <c r="AV43" i="48"/>
  <c r="BF43" i="48"/>
  <c r="BP34" i="48"/>
  <c r="BF34" i="48"/>
  <c r="BF52" i="48"/>
  <c r="BP50" i="48"/>
  <c r="BL50" i="48"/>
  <c r="BF50" i="48"/>
  <c r="BB43" i="48"/>
  <c r="BL43" i="48"/>
  <c r="BH43" i="48"/>
  <c r="BD50" i="48"/>
  <c r="AZ50" i="48"/>
  <c r="BP41" i="48"/>
  <c r="BD43" i="48"/>
  <c r="AZ43" i="48"/>
  <c r="BD37" i="48"/>
  <c r="AV37" i="48"/>
  <c r="BF39" i="48"/>
  <c r="BP53" i="48"/>
  <c r="BL37" i="48"/>
  <c r="BH39" i="48"/>
  <c r="BH37" i="48"/>
  <c r="BD39" i="48"/>
  <c r="AV39" i="48"/>
  <c r="BL45" i="48"/>
  <c r="BN55" i="48"/>
  <c r="BP48" i="48"/>
  <c r="BN54" i="48"/>
  <c r="BJ54" i="48"/>
  <c r="BP54" i="48"/>
  <c r="AZ54" i="48"/>
  <c r="BH54" i="48"/>
  <c r="AV54" i="48"/>
  <c r="BL54" i="48"/>
  <c r="BD54" i="48"/>
  <c r="AV44" i="48"/>
  <c r="BR44" i="48"/>
  <c r="BD44" i="48"/>
  <c r="BL44" i="48"/>
  <c r="BJ44" i="48"/>
  <c r="BR54" i="48"/>
  <c r="BR48" i="48"/>
  <c r="BP44" i="48"/>
  <c r="BH44" i="48"/>
  <c r="BF54" i="48"/>
  <c r="AV48" i="48"/>
  <c r="BL48" i="48"/>
  <c r="BB48" i="48"/>
  <c r="BJ48" i="48"/>
  <c r="BD48" i="48"/>
  <c r="AZ48" i="48"/>
  <c r="BH48" i="48"/>
  <c r="BF48" i="48"/>
  <c r="BF55" i="48"/>
  <c r="AZ55" i="48"/>
  <c r="BD55" i="48"/>
  <c r="AV55" i="48"/>
  <c r="BJ55" i="48"/>
  <c r="BH55" i="48"/>
  <c r="BP55" i="48"/>
  <c r="BL55" i="48"/>
  <c r="BB55" i="48"/>
  <c r="BB44" i="48"/>
  <c r="AZ44" i="48"/>
  <c r="BN44" i="48"/>
  <c r="BP35" i="48"/>
  <c r="BJ35" i="48"/>
  <c r="BF35" i="48"/>
  <c r="BB32" i="48"/>
  <c r="BF32" i="48"/>
  <c r="BD33" i="48"/>
  <c r="BN51" i="48"/>
  <c r="BR38" i="48"/>
  <c r="BB35" i="48"/>
  <c r="AZ35" i="48"/>
  <c r="BP32" i="48"/>
  <c r="BD32" i="48"/>
  <c r="BD52" i="48"/>
  <c r="BF41" i="48"/>
  <c r="BH46" i="48"/>
  <c r="BB52" i="48"/>
  <c r="BH52" i="48"/>
  <c r="BL52" i="48"/>
  <c r="BR37" i="48"/>
  <c r="BF37" i="48"/>
  <c r="BB41" i="48"/>
  <c r="AZ41" i="48"/>
  <c r="BJ41" i="48"/>
  <c r="BP39" i="48"/>
  <c r="AZ39" i="48"/>
  <c r="BL39" i="48"/>
  <c r="BD36" i="48"/>
  <c r="BN53" i="48"/>
  <c r="AV52" i="48"/>
  <c r="BJ52" i="48"/>
  <c r="BD41" i="48"/>
  <c r="BN41" i="48"/>
  <c r="BP52" i="48"/>
  <c r="BN52" i="48"/>
  <c r="BP37" i="48"/>
  <c r="AZ37" i="48"/>
  <c r="BR41" i="48"/>
  <c r="BB39" i="48"/>
  <c r="BR39" i="48"/>
  <c r="BH47" i="48"/>
  <c r="BH36" i="48"/>
  <c r="BB47" i="48"/>
  <c r="BF47" i="48"/>
  <c r="BF46" i="48"/>
  <c r="BD51" i="48"/>
  <c r="BR47" i="48"/>
  <c r="BJ46" i="48"/>
  <c r="BF36" i="48"/>
  <c r="BF53" i="48"/>
  <c r="BL51" i="48"/>
  <c r="AV47" i="48"/>
  <c r="BD46" i="48"/>
  <c r="AV46" i="48"/>
  <c r="BB51" i="48"/>
  <c r="AV51" i="48"/>
  <c r="BF51" i="48"/>
  <c r="BB36" i="48"/>
  <c r="AZ36" i="48"/>
  <c r="AV36" i="48"/>
  <c r="BD53" i="48"/>
  <c r="BH53" i="48"/>
  <c r="BJ53" i="48"/>
  <c r="BP51" i="48"/>
  <c r="BJ51" i="48"/>
  <c r="BH51" i="48"/>
  <c r="BR36" i="48"/>
  <c r="BJ36" i="48"/>
  <c r="AV53" i="48"/>
  <c r="BL53" i="48"/>
  <c r="BR51" i="48"/>
  <c r="BP36" i="48"/>
  <c r="BN36" i="48"/>
  <c r="BB53" i="48"/>
  <c r="AZ53" i="48"/>
  <c r="BP42" i="48"/>
  <c r="BR33" i="48"/>
  <c r="BN38" i="48"/>
  <c r="V150" i="46"/>
  <c r="I17" i="46" s="1"/>
  <c r="J17" i="46" s="1"/>
  <c r="BF42" i="48"/>
  <c r="AV33" i="48"/>
  <c r="BP45" i="48"/>
  <c r="U145" i="46"/>
  <c r="H12" i="46" s="1"/>
  <c r="BH42" i="48"/>
  <c r="AV45" i="48"/>
  <c r="BR42" i="48"/>
  <c r="V147" i="46"/>
  <c r="I14" i="46" s="1"/>
  <c r="J14" i="46" s="1"/>
  <c r="BH33" i="48"/>
  <c r="BF45" i="48"/>
  <c r="BJ38" i="48"/>
  <c r="U144" i="46"/>
  <c r="H11" i="46" s="1"/>
  <c r="U151" i="46"/>
  <c r="H18" i="46" s="1"/>
  <c r="BD42" i="48"/>
  <c r="BJ42" i="48"/>
  <c r="AV42" i="48"/>
  <c r="U146" i="46"/>
  <c r="H13" i="46" s="1"/>
  <c r="V146" i="46"/>
  <c r="I13" i="46" s="1"/>
  <c r="J13" i="46" s="1"/>
  <c r="BB33" i="48"/>
  <c r="BF33" i="48"/>
  <c r="AZ33" i="48"/>
  <c r="BB45" i="48"/>
  <c r="BH45" i="48"/>
  <c r="BJ45" i="48"/>
  <c r="BD38" i="48"/>
  <c r="BH38" i="48"/>
  <c r="AZ38" i="48"/>
  <c r="BP47" i="48"/>
  <c r="BL47" i="48"/>
  <c r="AZ47" i="48"/>
  <c r="BP46" i="48"/>
  <c r="AZ46" i="48"/>
  <c r="BN46" i="48"/>
  <c r="U148" i="46"/>
  <c r="H15" i="46" s="1"/>
  <c r="BB42" i="48"/>
  <c r="AZ42" i="48"/>
  <c r="V148" i="46"/>
  <c r="I15" i="46" s="1"/>
  <c r="J15" i="46" s="1"/>
  <c r="BJ33" i="48"/>
  <c r="BN45" i="48"/>
  <c r="BP38" i="48"/>
  <c r="BF38" i="48"/>
  <c r="V151" i="46"/>
  <c r="I18" i="46" s="1"/>
  <c r="J18" i="46" s="1"/>
  <c r="V145" i="46"/>
  <c r="I12" i="46" s="1"/>
  <c r="J12" i="46" s="1"/>
  <c r="V149" i="46"/>
  <c r="I16" i="46" s="1"/>
  <c r="J16" i="46" s="1"/>
  <c r="BN42" i="48"/>
  <c r="U149" i="46"/>
  <c r="H16" i="46" s="1"/>
  <c r="BP33" i="48"/>
  <c r="BL33" i="48"/>
  <c r="BD45" i="48"/>
  <c r="AZ45" i="48"/>
  <c r="BB38" i="48"/>
  <c r="BL38" i="48"/>
  <c r="BD47" i="48"/>
  <c r="BN47" i="48"/>
  <c r="BB46" i="48"/>
  <c r="BR46" i="48"/>
  <c r="V144" i="46"/>
  <c r="I11" i="46" s="1"/>
  <c r="J11" i="46" s="1"/>
  <c r="U147" i="46"/>
  <c r="H14" i="46" s="1"/>
  <c r="U150" i="46"/>
  <c r="H17" i="46" s="1"/>
  <c r="BR8" i="48"/>
  <c r="BB8" i="48"/>
  <c r="BD8" i="48"/>
  <c r="BF8" i="48"/>
  <c r="BL8" i="48"/>
  <c r="AZ8" i="48"/>
  <c r="AV8" i="48"/>
  <c r="BH8" i="48"/>
  <c r="BJ8" i="48"/>
  <c r="BN8" i="48"/>
  <c r="BP8" i="48"/>
  <c r="AV26" i="48"/>
  <c r="BF26" i="48"/>
  <c r="BJ26" i="48"/>
  <c r="AZ26" i="48"/>
  <c r="BL26" i="48"/>
  <c r="BN26" i="48"/>
  <c r="BR26" i="48"/>
  <c r="BB26" i="48"/>
  <c r="BD26" i="48"/>
  <c r="L146" i="48"/>
  <c r="AK146" i="48"/>
  <c r="AK90" i="48"/>
  <c r="L97" i="48"/>
  <c r="L90" i="48"/>
  <c r="AK97" i="48"/>
  <c r="AH97" i="48"/>
  <c r="AH90" i="48"/>
  <c r="E47" i="48"/>
  <c r="N146" i="48"/>
  <c r="AH146" i="48"/>
  <c r="AD384" i="23"/>
  <c r="AI384" i="23" s="1"/>
  <c r="AD393" i="23"/>
  <c r="AF392" i="23" s="1"/>
  <c r="AI392" i="23" s="1"/>
  <c r="AD385" i="23" s="1"/>
  <c r="AI385" i="23" s="1"/>
  <c r="X41" i="48"/>
  <c r="X144" i="46" l="1"/>
  <c r="E11" i="46" s="1"/>
  <c r="BD17" i="48"/>
  <c r="BB17" i="48"/>
  <c r="BP17" i="48"/>
  <c r="BP18" i="48"/>
  <c r="BB31" i="48"/>
  <c r="BL31" i="48"/>
  <c r="BF31" i="48"/>
  <c r="BR31" i="48"/>
  <c r="BR17" i="48"/>
  <c r="BB18" i="48"/>
  <c r="BB22" i="48"/>
  <c r="BD20" i="48"/>
  <c r="BD22" i="48"/>
  <c r="AZ17" i="48"/>
  <c r="BF17" i="48"/>
  <c r="AV17" i="48"/>
  <c r="BN17" i="48"/>
  <c r="BH17" i="48"/>
  <c r="BJ17" i="48"/>
  <c r="BP20" i="48"/>
  <c r="BH31" i="48"/>
  <c r="BJ31" i="48"/>
  <c r="AZ31" i="48"/>
  <c r="BD31" i="48"/>
  <c r="BP31" i="48"/>
  <c r="BN31" i="48"/>
  <c r="BF29" i="48"/>
  <c r="BJ18" i="48"/>
  <c r="BL18" i="48"/>
  <c r="BD18" i="48"/>
  <c r="BN18" i="48"/>
  <c r="BH18" i="48"/>
  <c r="BB20" i="48"/>
  <c r="BR18" i="48"/>
  <c r="AZ18" i="48"/>
  <c r="BF18" i="48"/>
  <c r="BN25" i="48"/>
  <c r="X149" i="46"/>
  <c r="E16" i="46" s="1"/>
  <c r="BP26" i="48"/>
  <c r="X148" i="46"/>
  <c r="E15" i="46" s="1"/>
  <c r="BP22" i="48"/>
  <c r="BH26" i="48"/>
  <c r="BH21" i="48"/>
  <c r="BP19" i="48"/>
  <c r="BL23" i="48"/>
  <c r="BH23" i="48"/>
  <c r="BL27" i="48"/>
  <c r="BD19" i="48"/>
  <c r="BF23" i="48"/>
  <c r="AZ23" i="48"/>
  <c r="BL21" i="48"/>
  <c r="AV28" i="48"/>
  <c r="AZ30" i="48"/>
  <c r="BP30" i="48"/>
  <c r="BR30" i="48"/>
  <c r="BJ28" i="48"/>
  <c r="BD30" i="48"/>
  <c r="BP28" i="48"/>
  <c r="BN30" i="48"/>
  <c r="BB30" i="48"/>
  <c r="K17" i="46"/>
  <c r="B159" i="48" s="1"/>
  <c r="BF28" i="48"/>
  <c r="BR28" i="48"/>
  <c r="BN28" i="48"/>
  <c r="BB28" i="48"/>
  <c r="BH29" i="48"/>
  <c r="W147" i="46"/>
  <c r="D14" i="46" s="1"/>
  <c r="BH30" i="48"/>
  <c r="BF30" i="48"/>
  <c r="BB29" i="48"/>
  <c r="BF24" i="48"/>
  <c r="BP29" i="48"/>
  <c r="W145" i="46"/>
  <c r="D12" i="46" s="1"/>
  <c r="BH24" i="48"/>
  <c r="AZ28" i="48"/>
  <c r="BJ30" i="48"/>
  <c r="BD28" i="48"/>
  <c r="BL30" i="48"/>
  <c r="BH28" i="48"/>
  <c r="BN29" i="48"/>
  <c r="BD25" i="48"/>
  <c r="BP25" i="48"/>
  <c r="BN24" i="48"/>
  <c r="BP24" i="48"/>
  <c r="BH25" i="48"/>
  <c r="BD24" i="48"/>
  <c r="AZ25" i="48"/>
  <c r="BB25" i="48"/>
  <c r="BR24" i="48"/>
  <c r="AV24" i="48"/>
  <c r="BR25" i="48"/>
  <c r="X145" i="46"/>
  <c r="E12" i="46" s="1"/>
  <c r="X150" i="46"/>
  <c r="E17" i="46" s="1"/>
  <c r="X146" i="46"/>
  <c r="E13" i="46" s="1"/>
  <c r="X147" i="46"/>
  <c r="E14" i="46" s="1"/>
  <c r="X151" i="46"/>
  <c r="E18" i="46" s="1"/>
  <c r="BP21" i="48"/>
  <c r="BH19" i="48"/>
  <c r="BJ23" i="48"/>
  <c r="AZ19" i="48"/>
  <c r="BD23" i="48"/>
  <c r="BD27" i="48"/>
  <c r="BB21" i="48"/>
  <c r="BB19" i="48"/>
  <c r="BJ19" i="48"/>
  <c r="BP23" i="48"/>
  <c r="AV19" i="48"/>
  <c r="AV23" i="48"/>
  <c r="BF27" i="48"/>
  <c r="BN23" i="48"/>
  <c r="AZ21" i="48"/>
  <c r="BR19" i="48"/>
  <c r="BF21" i="48"/>
  <c r="BL19" i="48"/>
  <c r="BB23" i="48"/>
  <c r="BF19" i="48"/>
  <c r="BD21" i="48"/>
  <c r="BB24" i="48"/>
  <c r="BJ25" i="48"/>
  <c r="BL25" i="48"/>
  <c r="AA146" i="46"/>
  <c r="G13" i="46" s="1"/>
  <c r="AZ24" i="48"/>
  <c r="BJ29" i="48"/>
  <c r="BL29" i="48"/>
  <c r="BF25" i="48"/>
  <c r="BD29" i="48"/>
  <c r="BJ24" i="48"/>
  <c r="BJ21" i="48"/>
  <c r="BR21" i="48"/>
  <c r="BN21" i="48"/>
  <c r="AA147" i="46"/>
  <c r="G14" i="46" s="1"/>
  <c r="W149" i="46"/>
  <c r="D16" i="46" s="1"/>
  <c r="AA145" i="46"/>
  <c r="G12" i="46" s="1"/>
  <c r="W148" i="46"/>
  <c r="D15" i="46" s="1"/>
  <c r="AA149" i="46"/>
  <c r="G16" i="46" s="1"/>
  <c r="W151" i="46"/>
  <c r="D18" i="46" s="1"/>
  <c r="W146" i="46"/>
  <c r="D13" i="46" s="1"/>
  <c r="W150" i="46"/>
  <c r="D17" i="46" s="1"/>
  <c r="W144" i="46"/>
  <c r="D11" i="46" s="1"/>
  <c r="AA151" i="46"/>
  <c r="G18" i="46" s="1"/>
  <c r="BR29" i="48"/>
  <c r="AZ29" i="48"/>
  <c r="BH27" i="48"/>
  <c r="AV27" i="48"/>
  <c r="AA148" i="46"/>
  <c r="G15" i="46" s="1"/>
  <c r="BR27" i="48"/>
  <c r="AZ27" i="48"/>
  <c r="BN27" i="48"/>
  <c r="AA144" i="46"/>
  <c r="G11" i="46" s="1"/>
  <c r="AA150" i="46"/>
  <c r="G17" i="46" s="1"/>
  <c r="BP27" i="48"/>
  <c r="BB27" i="48"/>
  <c r="K12" i="46"/>
  <c r="B154" i="48" s="1"/>
  <c r="K11" i="46"/>
  <c r="B153" i="48" s="1"/>
  <c r="I153" i="48" s="1"/>
  <c r="N165" i="48" s="1"/>
  <c r="K14" i="46"/>
  <c r="B156" i="48" s="1"/>
  <c r="K16" i="46"/>
  <c r="B158" i="48" s="1"/>
  <c r="K15" i="46"/>
  <c r="B157" i="48" s="1"/>
  <c r="K13" i="46"/>
  <c r="B155" i="48" s="1"/>
  <c r="K18" i="46"/>
  <c r="B160" i="48" s="1"/>
  <c r="AI381" i="23"/>
  <c r="AD396" i="23" s="1"/>
  <c r="AI396" i="23" s="1"/>
  <c r="BM104" i="48" l="1"/>
  <c r="BO61" i="48"/>
  <c r="BM92" i="48"/>
  <c r="BS61" i="48"/>
  <c r="BQ69" i="48"/>
  <c r="BO104" i="48"/>
  <c r="BE106" i="48"/>
  <c r="BC57" i="48"/>
  <c r="BG102" i="48"/>
  <c r="BG57" i="48"/>
  <c r="BG77" i="48"/>
  <c r="BE99" i="48"/>
  <c r="BA67" i="48"/>
  <c r="BA83" i="48"/>
  <c r="BG93" i="48"/>
  <c r="BK107" i="48"/>
  <c r="BK81" i="48"/>
  <c r="BK92" i="48"/>
  <c r="BK74" i="48"/>
  <c r="BK78" i="48"/>
  <c r="BK61" i="48"/>
  <c r="BK86" i="48"/>
  <c r="BK65" i="48"/>
  <c r="BK100" i="48"/>
  <c r="BK85" i="48"/>
  <c r="BK93" i="48"/>
  <c r="BK73" i="48"/>
  <c r="BQ93" i="48"/>
  <c r="BQ103" i="48"/>
  <c r="BQ107" i="48"/>
  <c r="BQ85" i="48"/>
  <c r="BQ59" i="48"/>
  <c r="BQ96" i="48"/>
  <c r="BQ63" i="48"/>
  <c r="BQ58" i="48"/>
  <c r="BQ92" i="48"/>
  <c r="BQ68" i="48"/>
  <c r="BQ104" i="48"/>
  <c r="BQ97" i="48"/>
  <c r="BK57" i="48"/>
  <c r="BQ72" i="48"/>
  <c r="BO90" i="48"/>
  <c r="BS105" i="48"/>
  <c r="BE64" i="48"/>
  <c r="BE71" i="48"/>
  <c r="BE85" i="48"/>
  <c r="BA100" i="48"/>
  <c r="BG101" i="48"/>
  <c r="BM86" i="48"/>
  <c r="BS88" i="48"/>
  <c r="AF57" i="48"/>
  <c r="BE88" i="48"/>
  <c r="BQ65" i="48"/>
  <c r="BG58" i="48"/>
  <c r="BM83" i="48"/>
  <c r="BS103" i="48"/>
  <c r="BA77" i="48"/>
  <c r="BA99" i="48"/>
  <c r="BA92" i="48"/>
  <c r="BA86" i="48"/>
  <c r="BA94" i="48"/>
  <c r="BA103" i="48"/>
  <c r="BA75" i="48"/>
  <c r="BA58" i="48"/>
  <c r="BA101" i="48"/>
  <c r="BA57" i="48"/>
  <c r="BA76" i="48"/>
  <c r="BA79" i="48"/>
  <c r="BA64" i="48"/>
  <c r="BA88" i="48"/>
  <c r="BA93" i="48"/>
  <c r="BA73" i="48"/>
  <c r="BA90" i="48"/>
  <c r="BA89" i="48"/>
  <c r="BA85" i="48"/>
  <c r="BA106" i="48"/>
  <c r="BA70" i="48"/>
  <c r="BA68" i="48"/>
  <c r="BA107" i="48"/>
  <c r="BA62" i="48"/>
  <c r="BA65" i="48"/>
  <c r="BA95" i="48"/>
  <c r="BA84" i="48"/>
  <c r="BA80" i="48"/>
  <c r="BA102" i="48"/>
  <c r="BA71" i="48"/>
  <c r="BA72" i="48"/>
  <c r="BA59" i="48"/>
  <c r="BA66" i="48"/>
  <c r="BA69" i="48"/>
  <c r="BA82" i="48"/>
  <c r="BA96" i="48"/>
  <c r="BA87" i="48"/>
  <c r="BA91" i="48"/>
  <c r="BA104" i="48"/>
  <c r="BA105" i="48"/>
  <c r="BA98" i="48"/>
  <c r="BA74" i="48"/>
  <c r="BA81" i="48"/>
  <c r="BA61" i="48"/>
  <c r="BM57" i="48"/>
  <c r="BE58" i="48"/>
  <c r="BQ70" i="48"/>
  <c r="BA63" i="48"/>
  <c r="BG73" i="48"/>
  <c r="BM63" i="48"/>
  <c r="BO92" i="48"/>
  <c r="BQ79" i="48"/>
  <c r="BA60" i="48"/>
  <c r="BS99" i="48"/>
  <c r="BO70" i="48"/>
  <c r="BG81" i="48"/>
  <c r="BG74" i="48"/>
  <c r="BG89" i="48"/>
  <c r="BG96" i="48"/>
  <c r="BG95" i="48"/>
  <c r="BG97" i="48"/>
  <c r="BG92" i="48"/>
  <c r="BG107" i="48"/>
  <c r="BG67" i="48"/>
  <c r="BG87" i="48"/>
  <c r="BG104" i="48"/>
  <c r="BG91" i="48"/>
  <c r="BE66" i="48"/>
  <c r="BG106" i="48"/>
  <c r="BE68" i="48"/>
  <c r="BQ99" i="48"/>
  <c r="BA97" i="48"/>
  <c r="BG90" i="48"/>
  <c r="BS78" i="48"/>
  <c r="BO79" i="48"/>
  <c r="BE89" i="48"/>
  <c r="BE62" i="48"/>
  <c r="BE94" i="48"/>
  <c r="BE76" i="48"/>
  <c r="BE86" i="48"/>
  <c r="BE74" i="48"/>
  <c r="BE73" i="48"/>
  <c r="BE97" i="48"/>
  <c r="BE91" i="48"/>
  <c r="BE75" i="48"/>
  <c r="BE72" i="48"/>
  <c r="BE67" i="48"/>
  <c r="BE80" i="48"/>
  <c r="BM101" i="48"/>
  <c r="BK69" i="48"/>
  <c r="BQ100" i="48"/>
  <c r="BE105" i="48"/>
  <c r="BE63" i="48"/>
  <c r="BQ66" i="48"/>
  <c r="BA78" i="48"/>
  <c r="BO62" i="48"/>
  <c r="BO80" i="48"/>
  <c r="BO84" i="48"/>
  <c r="BO76" i="48"/>
  <c r="BO68" i="48"/>
  <c r="BO73" i="48"/>
  <c r="BO97" i="48"/>
  <c r="BO60" i="48"/>
  <c r="BO101" i="48"/>
  <c r="BO78" i="48"/>
  <c r="BO87" i="48"/>
  <c r="BO88" i="48"/>
  <c r="BO64" i="48"/>
  <c r="BM89" i="48"/>
  <c r="BM75" i="48"/>
  <c r="BM78" i="48"/>
  <c r="BM87" i="48"/>
  <c r="BM61" i="48"/>
  <c r="BM69" i="48"/>
  <c r="BM79" i="48"/>
  <c r="BM100" i="48"/>
  <c r="BM97" i="48"/>
  <c r="BM71" i="48"/>
  <c r="BM62" i="48"/>
  <c r="BM74" i="48"/>
  <c r="BM91" i="48"/>
  <c r="BS102" i="48"/>
  <c r="BS89" i="48"/>
  <c r="BS95" i="48"/>
  <c r="BS107" i="48"/>
  <c r="BS85" i="48"/>
  <c r="BS93" i="48"/>
  <c r="BS84" i="48"/>
  <c r="BS90" i="48"/>
  <c r="BS100" i="48"/>
  <c r="BS72" i="48"/>
  <c r="BS92" i="48"/>
  <c r="BS60" i="48"/>
  <c r="BS106" i="48"/>
  <c r="BS70" i="48"/>
  <c r="BS63" i="48"/>
  <c r="BI103" i="48"/>
  <c r="BI87" i="48"/>
  <c r="BI94" i="48"/>
  <c r="BI63" i="48"/>
  <c r="BI71" i="48"/>
  <c r="BI73" i="48"/>
  <c r="BI88" i="48"/>
  <c r="BI75" i="48"/>
  <c r="BI61" i="48"/>
  <c r="BI104" i="48"/>
  <c r="BI77" i="48"/>
  <c r="BI102" i="48"/>
  <c r="BI98" i="48"/>
  <c r="BI81" i="48"/>
  <c r="BI92" i="48"/>
  <c r="BI72" i="48"/>
  <c r="BI69" i="48"/>
  <c r="BI66" i="48"/>
  <c r="BI86" i="48"/>
  <c r="BI105" i="48"/>
  <c r="BI62" i="48"/>
  <c r="BI91" i="48"/>
  <c r="BI97" i="48"/>
  <c r="BI82" i="48"/>
  <c r="BI85" i="48"/>
  <c r="BI58" i="48"/>
  <c r="BI65" i="48"/>
  <c r="BI64" i="48"/>
  <c r="BI107" i="48"/>
  <c r="BI99" i="48"/>
  <c r="BI90" i="48"/>
  <c r="BI74" i="48"/>
  <c r="BI93" i="48"/>
  <c r="BI67" i="48"/>
  <c r="BI70" i="48"/>
  <c r="BI84" i="48"/>
  <c r="BI78" i="48"/>
  <c r="BI83" i="48"/>
  <c r="BI95" i="48"/>
  <c r="BI96" i="48"/>
  <c r="BI76" i="48"/>
  <c r="BI59" i="48"/>
  <c r="BI89" i="48"/>
  <c r="BI79" i="48"/>
  <c r="BI57" i="48"/>
  <c r="BI101" i="48"/>
  <c r="BI60" i="48"/>
  <c r="BI80" i="48"/>
  <c r="BI68" i="48"/>
  <c r="BI106" i="48"/>
  <c r="BI100" i="48"/>
  <c r="BC89" i="48"/>
  <c r="BE93" i="48"/>
  <c r="BE83" i="48"/>
  <c r="BQ82" i="48"/>
  <c r="BG78" i="48"/>
  <c r="BM98" i="48"/>
  <c r="BS77" i="48"/>
  <c r="BO65" i="48"/>
  <c r="BC59" i="48"/>
  <c r="BC85" i="48"/>
  <c r="BC105" i="48"/>
  <c r="BC91" i="48"/>
  <c r="BC84" i="48"/>
  <c r="BC69" i="48"/>
  <c r="BO57" i="48"/>
  <c r="BE102" i="48"/>
  <c r="BE90" i="48"/>
  <c r="BE103" i="48"/>
  <c r="BE65" i="48"/>
  <c r="BE87" i="48"/>
  <c r="BE59" i="48"/>
  <c r="BQ89" i="48"/>
  <c r="BQ75" i="48"/>
  <c r="BQ67" i="48"/>
  <c r="BQ86" i="48"/>
  <c r="BQ101" i="48"/>
  <c r="BQ90" i="48"/>
  <c r="BG63" i="48"/>
  <c r="BG86" i="48"/>
  <c r="BG75" i="48"/>
  <c r="BG99" i="48"/>
  <c r="BG72" i="48"/>
  <c r="BG85" i="48"/>
  <c r="BG70" i="48"/>
  <c r="BM94" i="48"/>
  <c r="BM73" i="48"/>
  <c r="BM107" i="48"/>
  <c r="BM80" i="48"/>
  <c r="BM64" i="48"/>
  <c r="BM82" i="48"/>
  <c r="BS97" i="48"/>
  <c r="BS64" i="48"/>
  <c r="BS62" i="48"/>
  <c r="BS96" i="48"/>
  <c r="BS82" i="48"/>
  <c r="BS58" i="48"/>
  <c r="BO89" i="48"/>
  <c r="BO81" i="48"/>
  <c r="BO58" i="48"/>
  <c r="BO99" i="48"/>
  <c r="BO86" i="48"/>
  <c r="BO66" i="48"/>
  <c r="BK58" i="48"/>
  <c r="BK99" i="48"/>
  <c r="BK82" i="48"/>
  <c r="BK76" i="48"/>
  <c r="BK95" i="48"/>
  <c r="BK77" i="48"/>
  <c r="BC90" i="48"/>
  <c r="BC87" i="48"/>
  <c r="BC79" i="48"/>
  <c r="BC83" i="48"/>
  <c r="BC107" i="48"/>
  <c r="BC101" i="48"/>
  <c r="BC94" i="48"/>
  <c r="BC93" i="48"/>
  <c r="BQ60" i="48"/>
  <c r="BQ87" i="48"/>
  <c r="BQ106" i="48"/>
  <c r="BQ78" i="48"/>
  <c r="BQ84" i="48"/>
  <c r="BG62" i="48"/>
  <c r="BG98" i="48"/>
  <c r="BG66" i="48"/>
  <c r="BG84" i="48"/>
  <c r="BG94" i="48"/>
  <c r="BM72" i="48"/>
  <c r="BM96" i="48"/>
  <c r="BM90" i="48"/>
  <c r="BM95" i="48"/>
  <c r="BM102" i="48"/>
  <c r="BM68" i="48"/>
  <c r="BM67" i="48"/>
  <c r="BS73" i="48"/>
  <c r="BS66" i="48"/>
  <c r="BS94" i="48"/>
  <c r="BO94" i="48"/>
  <c r="BO63" i="48"/>
  <c r="BO74" i="48"/>
  <c r="BO72" i="48"/>
  <c r="BO105" i="48"/>
  <c r="BO95" i="48"/>
  <c r="BK98" i="48"/>
  <c r="BK90" i="48"/>
  <c r="BK84" i="48"/>
  <c r="BK91" i="48"/>
  <c r="BK96" i="48"/>
  <c r="BK88" i="48"/>
  <c r="BK105" i="48"/>
  <c r="BC71" i="48"/>
  <c r="BC97" i="48"/>
  <c r="BC64" i="48"/>
  <c r="BC96" i="48"/>
  <c r="BC70" i="48"/>
  <c r="BC82" i="48"/>
  <c r="BC67" i="48"/>
  <c r="BQ57" i="48"/>
  <c r="BE81" i="48"/>
  <c r="BE84" i="48"/>
  <c r="BE69" i="48"/>
  <c r="BE104" i="48"/>
  <c r="BE107" i="48"/>
  <c r="BE92" i="48"/>
  <c r="BE70" i="48"/>
  <c r="BQ77" i="48"/>
  <c r="BQ95" i="48"/>
  <c r="BQ94" i="48"/>
  <c r="BQ80" i="48"/>
  <c r="BQ91" i="48"/>
  <c r="BQ64" i="48"/>
  <c r="BG79" i="48"/>
  <c r="BG100" i="48"/>
  <c r="BG83" i="48"/>
  <c r="BG65" i="48"/>
  <c r="BG103" i="48"/>
  <c r="BG80" i="48"/>
  <c r="BM88" i="48"/>
  <c r="BM59" i="48"/>
  <c r="BM70" i="48"/>
  <c r="BM105" i="48"/>
  <c r="BM58" i="48"/>
  <c r="BM93" i="48"/>
  <c r="BS81" i="48"/>
  <c r="BS87" i="48"/>
  <c r="BS71" i="48"/>
  <c r="BS104" i="48"/>
  <c r="BS79" i="48"/>
  <c r="BS86" i="48"/>
  <c r="BS91" i="48"/>
  <c r="BO91" i="48"/>
  <c r="BO83" i="48"/>
  <c r="BO100" i="48"/>
  <c r="BO69" i="48"/>
  <c r="BO85" i="48"/>
  <c r="BO98" i="48"/>
  <c r="BK66" i="48"/>
  <c r="BK72" i="48"/>
  <c r="BK104" i="48"/>
  <c r="BK64" i="48"/>
  <c r="BK97" i="48"/>
  <c r="BK59" i="48"/>
  <c r="BK103" i="48"/>
  <c r="BC60" i="48"/>
  <c r="BC81" i="48"/>
  <c r="BC73" i="48"/>
  <c r="BC88" i="48"/>
  <c r="BC62" i="48"/>
  <c r="BC61" i="48"/>
  <c r="BC95" i="48"/>
  <c r="BC98" i="48"/>
  <c r="BC86" i="48"/>
  <c r="BS57" i="48"/>
  <c r="BE95" i="48"/>
  <c r="BE78" i="48"/>
  <c r="BE101" i="48"/>
  <c r="BE82" i="48"/>
  <c r="BE100" i="48"/>
  <c r="BE61" i="48"/>
  <c r="BQ61" i="48"/>
  <c r="BQ102" i="48"/>
  <c r="BQ71" i="48"/>
  <c r="BQ98" i="48"/>
  <c r="BQ74" i="48"/>
  <c r="BQ83" i="48"/>
  <c r="BQ88" i="48"/>
  <c r="BG61" i="48"/>
  <c r="BG82" i="48"/>
  <c r="BG59" i="48"/>
  <c r="BG60" i="48"/>
  <c r="BG76" i="48"/>
  <c r="BG71" i="48"/>
  <c r="BM103" i="48"/>
  <c r="BM65" i="48"/>
  <c r="BM81" i="48"/>
  <c r="BM99" i="48"/>
  <c r="BM84" i="48"/>
  <c r="BM76" i="48"/>
  <c r="BS75" i="48"/>
  <c r="BS80" i="48"/>
  <c r="BS68" i="48"/>
  <c r="BS69" i="48"/>
  <c r="BS67" i="48"/>
  <c r="BS98" i="48"/>
  <c r="BS74" i="48"/>
  <c r="BO71" i="48"/>
  <c r="BO77" i="48"/>
  <c r="BO93" i="48"/>
  <c r="BO67" i="48"/>
  <c r="BO82" i="48"/>
  <c r="BO59" i="48"/>
  <c r="BK101" i="48"/>
  <c r="BK62" i="48"/>
  <c r="BK94" i="48"/>
  <c r="BK87" i="48"/>
  <c r="BK106" i="48"/>
  <c r="BK70" i="48"/>
  <c r="BC92" i="48"/>
  <c r="BC77" i="48"/>
  <c r="BC78" i="48"/>
  <c r="BC106" i="48"/>
  <c r="BC68" i="48"/>
  <c r="BC75" i="48"/>
  <c r="BC100" i="48"/>
  <c r="BK63" i="48"/>
  <c r="BK79" i="48"/>
  <c r="BK80" i="48"/>
  <c r="BK60" i="48"/>
  <c r="BK71" i="48"/>
  <c r="BK67" i="48"/>
  <c r="BC72" i="48"/>
  <c r="BC74" i="48"/>
  <c r="BC65" i="48"/>
  <c r="BC66" i="48"/>
  <c r="BC76" i="48"/>
  <c r="BC104" i="48"/>
  <c r="BC58" i="48"/>
  <c r="BE57" i="48"/>
  <c r="BE96" i="48"/>
  <c r="BE98" i="48"/>
  <c r="BE60" i="48"/>
  <c r="BE79" i="48"/>
  <c r="BE77" i="48"/>
  <c r="BQ73" i="48"/>
  <c r="BQ76" i="48"/>
  <c r="BQ105" i="48"/>
  <c r="BQ62" i="48"/>
  <c r="BQ81" i="48"/>
  <c r="BG69" i="48"/>
  <c r="BG88" i="48"/>
  <c r="BG68" i="48"/>
  <c r="BG105" i="48"/>
  <c r="BG64" i="48"/>
  <c r="BM85" i="48"/>
  <c r="BM77" i="48"/>
  <c r="BM66" i="48"/>
  <c r="BM60" i="48"/>
  <c r="BM106" i="48"/>
  <c r="BS59" i="48"/>
  <c r="BS76" i="48"/>
  <c r="BS65" i="48"/>
  <c r="BS83" i="48"/>
  <c r="BS101" i="48"/>
  <c r="BO106" i="48"/>
  <c r="BO103" i="48"/>
  <c r="BO102" i="48"/>
  <c r="BO107" i="48"/>
  <c r="BO75" i="48"/>
  <c r="BO96" i="48"/>
  <c r="BK83" i="48"/>
  <c r="BK89" i="48"/>
  <c r="BK68" i="48"/>
  <c r="BK102" i="48"/>
  <c r="BK75" i="48"/>
  <c r="BC80" i="48"/>
  <c r="BC103" i="48"/>
  <c r="BC102" i="48"/>
  <c r="BC63" i="48"/>
  <c r="BC99" i="48"/>
  <c r="AF56" i="48"/>
  <c r="BQ16" i="48"/>
  <c r="BQ18" i="48"/>
  <c r="BQ10" i="48"/>
  <c r="BS8" i="48"/>
  <c r="BA8" i="48"/>
  <c r="BQ14" i="48"/>
  <c r="BQ11" i="48"/>
  <c r="BQ9" i="48"/>
  <c r="BQ13" i="48"/>
  <c r="BQ8" i="48"/>
  <c r="BQ12" i="48"/>
  <c r="BQ17" i="48"/>
  <c r="BQ15" i="48"/>
  <c r="U34" i="48"/>
  <c r="AE34" i="48" s="1"/>
  <c r="U36" i="48"/>
  <c r="AE36" i="48" s="1"/>
  <c r="U37" i="48"/>
  <c r="AE37" i="48" s="1"/>
  <c r="U35" i="48"/>
  <c r="AE35" i="48" s="1"/>
  <c r="BM39" i="48"/>
  <c r="BO25" i="48"/>
  <c r="BO43" i="48"/>
  <c r="BQ21" i="48"/>
  <c r="BO9" i="48"/>
  <c r="BM29" i="48"/>
  <c r="BO29" i="48"/>
  <c r="BM38" i="48"/>
  <c r="BQ20" i="48"/>
  <c r="BO16" i="48"/>
  <c r="BO17" i="48"/>
  <c r="BM42" i="48"/>
  <c r="BM53" i="48"/>
  <c r="BO30" i="48"/>
  <c r="BO56" i="48"/>
  <c r="BO41" i="48"/>
  <c r="BO27" i="48"/>
  <c r="BO24" i="48"/>
  <c r="BM19" i="48"/>
  <c r="BM43" i="48"/>
  <c r="BM18" i="48"/>
  <c r="BM32" i="48"/>
  <c r="BO22" i="48"/>
  <c r="BO19" i="48"/>
  <c r="BM31" i="48"/>
  <c r="BO48" i="48"/>
  <c r="BO31" i="48"/>
  <c r="BO20" i="48"/>
  <c r="BO28" i="48"/>
  <c r="BO45" i="48"/>
  <c r="BO53" i="48"/>
  <c r="BO10" i="48"/>
  <c r="BO50" i="48"/>
  <c r="BO32" i="48"/>
  <c r="BM9" i="48"/>
  <c r="BM34" i="48"/>
  <c r="BM16" i="48"/>
  <c r="BM27" i="48"/>
  <c r="BM24" i="48"/>
  <c r="BM30" i="48"/>
  <c r="BM52" i="48"/>
  <c r="BM26" i="48"/>
  <c r="BM46" i="48"/>
  <c r="BM50" i="48"/>
  <c r="BM45" i="48"/>
  <c r="BM13" i="48"/>
  <c r="BM17" i="48"/>
  <c r="BM35" i="48"/>
  <c r="BO33" i="48"/>
  <c r="BO37" i="48"/>
  <c r="BO54" i="48"/>
  <c r="BO40" i="48"/>
  <c r="BO12" i="48"/>
  <c r="BO15" i="48"/>
  <c r="BO23" i="48"/>
  <c r="BO35" i="48"/>
  <c r="BO52" i="48"/>
  <c r="BO51" i="48"/>
  <c r="BM56" i="48"/>
  <c r="BM23" i="48"/>
  <c r="BM37" i="48"/>
  <c r="BM40" i="48"/>
  <c r="BO14" i="48"/>
  <c r="BM14" i="48"/>
  <c r="BM8" i="48"/>
  <c r="BM41" i="48"/>
  <c r="BM15" i="48"/>
  <c r="BM21" i="48"/>
  <c r="BM10" i="48"/>
  <c r="BM49" i="48"/>
  <c r="BM20" i="48"/>
  <c r="BM12" i="48"/>
  <c r="BM11" i="48"/>
  <c r="BM36" i="48"/>
  <c r="BO11" i="48"/>
  <c r="BO18" i="48"/>
  <c r="BO49" i="48"/>
  <c r="BO42" i="48"/>
  <c r="BO46" i="48"/>
  <c r="BO39" i="48"/>
  <c r="BO8" i="48"/>
  <c r="BO55" i="48"/>
  <c r="BO44" i="48"/>
  <c r="BO26" i="48"/>
  <c r="BO13" i="48"/>
  <c r="BM22" i="48"/>
  <c r="BM47" i="48"/>
  <c r="BM55" i="48"/>
  <c r="BM51" i="48"/>
  <c r="BM44" i="48"/>
  <c r="BO47" i="48"/>
  <c r="BM33" i="48"/>
  <c r="BO34" i="48"/>
  <c r="BM28" i="48"/>
  <c r="AF95" i="48"/>
  <c r="AG92" i="48"/>
  <c r="BQ53" i="48"/>
  <c r="BQ19" i="48"/>
  <c r="U73" i="48"/>
  <c r="AE73" i="48" s="1"/>
  <c r="BQ46" i="48"/>
  <c r="U130" i="48"/>
  <c r="I130" i="48" s="1"/>
  <c r="BQ30" i="48"/>
  <c r="AD86" i="48"/>
  <c r="BM54" i="48"/>
  <c r="BQ55" i="48"/>
  <c r="BQ26" i="48"/>
  <c r="AG116" i="48"/>
  <c r="U72" i="48"/>
  <c r="AE72" i="48" s="1"/>
  <c r="U143" i="48"/>
  <c r="AE143" i="48" s="1"/>
  <c r="AD47" i="48"/>
  <c r="AG86" i="48"/>
  <c r="BQ32" i="48"/>
  <c r="AF79" i="48"/>
  <c r="AG100" i="48"/>
  <c r="AF115" i="48"/>
  <c r="BM48" i="48"/>
  <c r="BM25" i="48"/>
  <c r="BQ56" i="48"/>
  <c r="BQ50" i="48"/>
  <c r="BQ34" i="48"/>
  <c r="BA16" i="48"/>
  <c r="BA30" i="48"/>
  <c r="BA37" i="48"/>
  <c r="AD34" i="48"/>
  <c r="Z49" i="48" s="1"/>
  <c r="AG136" i="48"/>
  <c r="AF69" i="48"/>
  <c r="AF35" i="48"/>
  <c r="AD132" i="48"/>
  <c r="AF50" i="48"/>
  <c r="AD72" i="48"/>
  <c r="AF96" i="48"/>
  <c r="U100" i="48"/>
  <c r="I100" i="48" s="1"/>
  <c r="AF40" i="48"/>
  <c r="AD128" i="48"/>
  <c r="U53" i="48"/>
  <c r="AE53" i="48" s="1"/>
  <c r="AF102" i="48"/>
  <c r="U111" i="48"/>
  <c r="I111" i="48" s="1"/>
  <c r="U103" i="48"/>
  <c r="AE103" i="48" s="1"/>
  <c r="AF62" i="48"/>
  <c r="AG129" i="48"/>
  <c r="AD125" i="48"/>
  <c r="AF73" i="48"/>
  <c r="AF97" i="48"/>
  <c r="U76" i="48"/>
  <c r="AE76" i="48" s="1"/>
  <c r="AF137" i="48"/>
  <c r="U91" i="48"/>
  <c r="AE91" i="48" s="1"/>
  <c r="AD101" i="48"/>
  <c r="U145" i="48"/>
  <c r="I145" i="48" s="1"/>
  <c r="AD53" i="48"/>
  <c r="AD100" i="48"/>
  <c r="AG124" i="48"/>
  <c r="AG107" i="48"/>
  <c r="U136" i="48"/>
  <c r="I136" i="48" s="1"/>
  <c r="U140" i="48"/>
  <c r="AE140" i="48" s="1"/>
  <c r="AF128" i="48"/>
  <c r="U105" i="48"/>
  <c r="I105" i="48" s="1"/>
  <c r="AG85" i="48"/>
  <c r="AF59" i="48"/>
  <c r="AG105" i="48"/>
  <c r="AD110" i="48"/>
  <c r="U79" i="48"/>
  <c r="I79" i="48" s="1"/>
  <c r="AF120" i="48"/>
  <c r="AD143" i="48"/>
  <c r="AF37" i="48"/>
  <c r="AG137" i="48"/>
  <c r="U127" i="48"/>
  <c r="AE127" i="48" s="1"/>
  <c r="AG91" i="48"/>
  <c r="AD91" i="48"/>
  <c r="AF82" i="48"/>
  <c r="W82" i="48" s="1"/>
  <c r="D82" i="48" s="1"/>
  <c r="AF41" i="48"/>
  <c r="AD122" i="48"/>
  <c r="AD134" i="48"/>
  <c r="AD119" i="48"/>
  <c r="U85" i="48"/>
  <c r="AE85" i="48" s="1"/>
  <c r="AF110" i="48"/>
  <c r="AF36" i="48"/>
  <c r="AF71" i="48"/>
  <c r="AG103" i="48"/>
  <c r="AF136" i="48"/>
  <c r="U108" i="48"/>
  <c r="AE108" i="48" s="1"/>
  <c r="U144" i="48"/>
  <c r="AE144" i="48" s="1"/>
  <c r="AD102" i="48"/>
  <c r="AF53" i="48"/>
  <c r="U129" i="48"/>
  <c r="I129" i="48" s="1"/>
  <c r="AD40" i="48"/>
  <c r="AG123" i="48"/>
  <c r="AD99" i="48"/>
  <c r="AG108" i="48"/>
  <c r="AD112" i="48"/>
  <c r="AF84" i="48"/>
  <c r="W84" i="48" s="1"/>
  <c r="D84" i="48" s="1"/>
  <c r="AD69" i="48"/>
  <c r="AD138" i="48"/>
  <c r="AD131" i="48"/>
  <c r="AF114" i="48"/>
  <c r="AG49" i="48"/>
  <c r="AG114" i="48"/>
  <c r="AF116" i="48"/>
  <c r="U102" i="48"/>
  <c r="I102" i="48" s="1"/>
  <c r="AD51" i="48"/>
  <c r="AG132" i="48"/>
  <c r="AD107" i="48"/>
  <c r="U67" i="48"/>
  <c r="AE67" i="48" s="1"/>
  <c r="AG119" i="48"/>
  <c r="AD79" i="48"/>
  <c r="U114" i="48"/>
  <c r="I114" i="48" s="1"/>
  <c r="AD31" i="48"/>
  <c r="AD127" i="48"/>
  <c r="AD113" i="48"/>
  <c r="U94" i="48"/>
  <c r="I94" i="48" s="1"/>
  <c r="AF61" i="48"/>
  <c r="U128" i="48"/>
  <c r="AE128" i="48" s="1"/>
  <c r="AD118" i="48"/>
  <c r="AD64" i="48"/>
  <c r="U104" i="48"/>
  <c r="I104" i="48" s="1"/>
  <c r="AF58" i="48"/>
  <c r="AG142" i="48"/>
  <c r="U116" i="48"/>
  <c r="I116" i="48" s="1"/>
  <c r="AF74" i="48"/>
  <c r="U69" i="48"/>
  <c r="AE69" i="48" s="1"/>
  <c r="AD103" i="48"/>
  <c r="AG131" i="48"/>
  <c r="AF68" i="48"/>
  <c r="AF119" i="48"/>
  <c r="AD84" i="48"/>
  <c r="AD37" i="48"/>
  <c r="AD36" i="48"/>
  <c r="AA52" i="48" s="1"/>
  <c r="AF90" i="48"/>
  <c r="AD90" i="48"/>
  <c r="U98" i="48"/>
  <c r="I98" i="48" s="1"/>
  <c r="AF103" i="48"/>
  <c r="AF109" i="48"/>
  <c r="U81" i="48"/>
  <c r="AE81" i="48" s="1"/>
  <c r="AD137" i="48"/>
  <c r="AG139" i="48"/>
  <c r="U138" i="48"/>
  <c r="I138" i="48" s="1"/>
  <c r="U74" i="48"/>
  <c r="I74" i="48" s="1"/>
  <c r="AF108" i="48"/>
  <c r="AG134" i="48"/>
  <c r="AG138" i="48"/>
  <c r="AF66" i="48"/>
  <c r="U101" i="48"/>
  <c r="AE101" i="48" s="1"/>
  <c r="AG95" i="48"/>
  <c r="AG93" i="48"/>
  <c r="AF143" i="48"/>
  <c r="AF65" i="48"/>
  <c r="U44" i="48"/>
  <c r="AE44" i="48" s="1"/>
  <c r="AG90" i="48"/>
  <c r="AG125" i="48"/>
  <c r="AD76" i="48"/>
  <c r="AF122" i="48"/>
  <c r="AF138" i="48"/>
  <c r="AD82" i="48"/>
  <c r="AG84" i="48"/>
  <c r="AG141" i="48"/>
  <c r="AF141" i="48"/>
  <c r="U132" i="48"/>
  <c r="I132" i="48" s="1"/>
  <c r="U142" i="48"/>
  <c r="I142" i="48" s="1"/>
  <c r="U119" i="48"/>
  <c r="I119" i="48" s="1"/>
  <c r="AD70" i="48"/>
  <c r="U52" i="48"/>
  <c r="I52" i="48" s="1"/>
  <c r="AF55" i="48"/>
  <c r="AF107" i="48"/>
  <c r="AG135" i="48"/>
  <c r="AD116" i="48"/>
  <c r="AD104" i="48"/>
  <c r="AD71" i="48"/>
  <c r="AD83" i="48"/>
  <c r="AF67" i="48"/>
  <c r="AF94" i="48"/>
  <c r="AF145" i="48"/>
  <c r="AF135" i="48"/>
  <c r="AF112" i="48"/>
  <c r="AG120" i="48"/>
  <c r="AF100" i="48"/>
  <c r="AF85" i="48"/>
  <c r="W85" i="48" s="1"/>
  <c r="AJ85" i="48" s="1"/>
  <c r="M85" i="48" s="1"/>
  <c r="AH85" i="48" s="1"/>
  <c r="AD141" i="48"/>
  <c r="U93" i="48"/>
  <c r="AE93" i="48" s="1"/>
  <c r="AG118" i="48"/>
  <c r="AD44" i="48"/>
  <c r="AF118" i="48"/>
  <c r="AG96" i="48"/>
  <c r="AF51" i="48"/>
  <c r="U68" i="48"/>
  <c r="I68" i="48" s="1"/>
  <c r="AD120" i="48"/>
  <c r="AG101" i="48"/>
  <c r="U112" i="48"/>
  <c r="I112" i="48" s="1"/>
  <c r="AG94" i="48"/>
  <c r="U95" i="48"/>
  <c r="I95" i="48" s="1"/>
  <c r="AD126" i="48"/>
  <c r="AD109" i="48"/>
  <c r="AD52" i="48"/>
  <c r="AB34" i="48" s="1"/>
  <c r="AG126" i="48"/>
  <c r="AD80" i="48"/>
  <c r="AD121" i="48"/>
  <c r="U121" i="48"/>
  <c r="AE121" i="48" s="1"/>
  <c r="AF43" i="48"/>
  <c r="AD142" i="48"/>
  <c r="AG140" i="48"/>
  <c r="AF129" i="48"/>
  <c r="AF64" i="48"/>
  <c r="AD46" i="48"/>
  <c r="AD115" i="48"/>
  <c r="AF111" i="48"/>
  <c r="AF76" i="48"/>
  <c r="AD136" i="48"/>
  <c r="AF99" i="48"/>
  <c r="AF86" i="48"/>
  <c r="W86" i="48" s="1"/>
  <c r="D86" i="48" s="1"/>
  <c r="AD108" i="48"/>
  <c r="AF131" i="48"/>
  <c r="AG98" i="48"/>
  <c r="U47" i="48"/>
  <c r="AE47" i="48" s="1"/>
  <c r="AD117" i="48"/>
  <c r="AF113" i="48"/>
  <c r="U46" i="48"/>
  <c r="AE46" i="48" s="1"/>
  <c r="AG121" i="48"/>
  <c r="AG144" i="48"/>
  <c r="AF121" i="48"/>
  <c r="AD96" i="48"/>
  <c r="AG127" i="48"/>
  <c r="AF124" i="48"/>
  <c r="AD45" i="48"/>
  <c r="U70" i="48"/>
  <c r="AE70" i="48" s="1"/>
  <c r="U134" i="48"/>
  <c r="I134" i="48" s="1"/>
  <c r="AG122" i="48"/>
  <c r="AD92" i="48"/>
  <c r="AD74" i="48"/>
  <c r="U80" i="48"/>
  <c r="AE80" i="48" s="1"/>
  <c r="U113" i="48"/>
  <c r="AF46" i="48"/>
  <c r="AD140" i="48"/>
  <c r="AF47" i="48"/>
  <c r="AG113" i="48"/>
  <c r="AD145" i="48"/>
  <c r="U109" i="48"/>
  <c r="AE109" i="48" s="1"/>
  <c r="AF142" i="48"/>
  <c r="AD59" i="48"/>
  <c r="AF133" i="48"/>
  <c r="U122" i="48"/>
  <c r="AE122" i="48" s="1"/>
  <c r="AF139" i="48"/>
  <c r="AG83" i="48"/>
  <c r="AF48" i="48"/>
  <c r="AG104" i="48"/>
  <c r="AF31" i="48"/>
  <c r="U83" i="48"/>
  <c r="AE83" i="48" s="1"/>
  <c r="AG48" i="48"/>
  <c r="AF117" i="48"/>
  <c r="AG97" i="48"/>
  <c r="AF34" i="48"/>
  <c r="AD43" i="48"/>
  <c r="AD93" i="48"/>
  <c r="U115" i="48"/>
  <c r="I115" i="48" s="1"/>
  <c r="AD124" i="48"/>
  <c r="AG128" i="48"/>
  <c r="AD68" i="48"/>
  <c r="AF49" i="48"/>
  <c r="AG112" i="48"/>
  <c r="AG133" i="48"/>
  <c r="AF101" i="48"/>
  <c r="U96" i="48"/>
  <c r="AE96" i="48" s="1"/>
  <c r="U131" i="48"/>
  <c r="AE131" i="48" s="1"/>
  <c r="AF81" i="48"/>
  <c r="AF125" i="48"/>
  <c r="AD129" i="48"/>
  <c r="U139" i="48"/>
  <c r="I139" i="48" s="1"/>
  <c r="U141" i="48"/>
  <c r="I141" i="48" s="1"/>
  <c r="AG82" i="48"/>
  <c r="U86" i="48"/>
  <c r="AE86" i="48" s="1"/>
  <c r="AF60" i="48"/>
  <c r="AF126" i="48"/>
  <c r="AF72" i="48"/>
  <c r="AD133" i="48"/>
  <c r="AG106" i="48"/>
  <c r="AD111" i="48"/>
  <c r="U59" i="48"/>
  <c r="AE59" i="48" s="1"/>
  <c r="U126" i="48"/>
  <c r="AE126" i="48" s="1"/>
  <c r="AF83" i="48"/>
  <c r="W83" i="48" s="1"/>
  <c r="D83" i="48" s="1"/>
  <c r="AD73" i="48"/>
  <c r="AF52" i="48"/>
  <c r="AF106" i="48"/>
  <c r="AF44" i="48"/>
  <c r="R45" i="48" s="1"/>
  <c r="W45" i="48" s="1"/>
  <c r="E45" i="48" s="1"/>
  <c r="AD95" i="48"/>
  <c r="U125" i="48"/>
  <c r="I125" i="48" s="1"/>
  <c r="U123" i="48"/>
  <c r="AE123" i="48" s="1"/>
  <c r="AD67" i="48"/>
  <c r="U107" i="48"/>
  <c r="I107" i="48" s="1"/>
  <c r="AD114" i="48"/>
  <c r="AF134" i="48"/>
  <c r="AF140" i="48"/>
  <c r="U45" i="48"/>
  <c r="AE45" i="48" s="1"/>
  <c r="AD65" i="48"/>
  <c r="BQ45" i="48"/>
  <c r="BQ48" i="48"/>
  <c r="BQ44" i="48"/>
  <c r="BQ39" i="48"/>
  <c r="BQ42" i="48"/>
  <c r="BA31" i="48"/>
  <c r="U99" i="48"/>
  <c r="AE99" i="48" s="1"/>
  <c r="AD97" i="48"/>
  <c r="U71" i="48"/>
  <c r="AE71" i="48" s="1"/>
  <c r="U106" i="48"/>
  <c r="I106" i="48" s="1"/>
  <c r="U43" i="48"/>
  <c r="I43" i="48" s="1"/>
  <c r="U92" i="48"/>
  <c r="I92" i="48" s="1"/>
  <c r="AG115" i="48"/>
  <c r="AD85" i="48"/>
  <c r="AG99" i="48"/>
  <c r="AD130" i="48"/>
  <c r="U48" i="48"/>
  <c r="I48" i="48" s="1"/>
  <c r="AF144" i="48"/>
  <c r="AG117" i="48"/>
  <c r="U49" i="48"/>
  <c r="AF93" i="48"/>
  <c r="BQ43" i="48"/>
  <c r="BQ35" i="48"/>
  <c r="BQ28" i="48"/>
  <c r="BQ22" i="48"/>
  <c r="BQ51" i="48"/>
  <c r="BQ38" i="48"/>
  <c r="BQ36" i="48"/>
  <c r="AF70" i="48"/>
  <c r="U82" i="48"/>
  <c r="AE82" i="48" s="1"/>
  <c r="AF98" i="48"/>
  <c r="AG110" i="48"/>
  <c r="U84" i="48"/>
  <c r="AE84" i="48" s="1"/>
  <c r="U40" i="48"/>
  <c r="AE40" i="48" s="1"/>
  <c r="AD98" i="48"/>
  <c r="AD106" i="48"/>
  <c r="AG143" i="48"/>
  <c r="U124" i="48"/>
  <c r="I124" i="48" s="1"/>
  <c r="AF92" i="48"/>
  <c r="AD135" i="48"/>
  <c r="AF127" i="48"/>
  <c r="AD144" i="48"/>
  <c r="BA43" i="48"/>
  <c r="BA40" i="48"/>
  <c r="BA27" i="48"/>
  <c r="BQ25" i="48"/>
  <c r="BQ47" i="48"/>
  <c r="BQ54" i="48"/>
  <c r="BQ27" i="48"/>
  <c r="BQ33" i="48"/>
  <c r="BQ31" i="48"/>
  <c r="BQ40" i="48"/>
  <c r="U90" i="48"/>
  <c r="AE90" i="48" s="1"/>
  <c r="U117" i="48"/>
  <c r="AE117" i="48" s="1"/>
  <c r="U110" i="48"/>
  <c r="I110" i="48" s="1"/>
  <c r="AF54" i="48"/>
  <c r="AF130" i="48"/>
  <c r="U65" i="48"/>
  <c r="I65" i="48" s="1"/>
  <c r="U64" i="48"/>
  <c r="AE64" i="48" s="1"/>
  <c r="AD35" i="48"/>
  <c r="AF105" i="48"/>
  <c r="AF104" i="48"/>
  <c r="U77" i="48"/>
  <c r="AF63" i="48"/>
  <c r="U118" i="48"/>
  <c r="AE118" i="48" s="1"/>
  <c r="AD139" i="48"/>
  <c r="BO36" i="48"/>
  <c r="AD105" i="48"/>
  <c r="U51" i="48"/>
  <c r="I51" i="48" s="1"/>
  <c r="AD81" i="48"/>
  <c r="AD123" i="48"/>
  <c r="AG102" i="48"/>
  <c r="BO38" i="48"/>
  <c r="U133" i="48"/>
  <c r="AE133" i="48" s="1"/>
  <c r="U97" i="48"/>
  <c r="AE97" i="48" s="1"/>
  <c r="BO21" i="48"/>
  <c r="AG145" i="48"/>
  <c r="AD66" i="48"/>
  <c r="AF45" i="48"/>
  <c r="R44" i="48" s="1"/>
  <c r="W44" i="48" s="1"/>
  <c r="AD94" i="48"/>
  <c r="AF91" i="48"/>
  <c r="U137" i="48"/>
  <c r="I137" i="48" s="1"/>
  <c r="U66" i="48"/>
  <c r="AE66" i="48" s="1"/>
  <c r="BA10" i="48"/>
  <c r="BQ49" i="48"/>
  <c r="BQ29" i="48"/>
  <c r="BQ37" i="48"/>
  <c r="BQ23" i="48"/>
  <c r="BQ52" i="48"/>
  <c r="BQ24" i="48"/>
  <c r="BQ41" i="48"/>
  <c r="BA34" i="48"/>
  <c r="BA36" i="48"/>
  <c r="BA45" i="48"/>
  <c r="BA46" i="48"/>
  <c r="BA22" i="48"/>
  <c r="BA19" i="48"/>
  <c r="BA29" i="48"/>
  <c r="BA54" i="48"/>
  <c r="BS22" i="48"/>
  <c r="BA55" i="48"/>
  <c r="BA18" i="48"/>
  <c r="BA39" i="48"/>
  <c r="BA9" i="48"/>
  <c r="BA38" i="48"/>
  <c r="BA12" i="48"/>
  <c r="BA32" i="48"/>
  <c r="BA13" i="48"/>
  <c r="BA42" i="48"/>
  <c r="BA14" i="48"/>
  <c r="BA26" i="48"/>
  <c r="BA11" i="48"/>
  <c r="BA24" i="48"/>
  <c r="BA28" i="48"/>
  <c r="BA52" i="48"/>
  <c r="BA53" i="48"/>
  <c r="BA44" i="48"/>
  <c r="BA35" i="48"/>
  <c r="BA41" i="48"/>
  <c r="BA47" i="48"/>
  <c r="BA56" i="48"/>
  <c r="BA23" i="48"/>
  <c r="BA50" i="48"/>
  <c r="BA15" i="48"/>
  <c r="BA25" i="48"/>
  <c r="BA33" i="48"/>
  <c r="BA17" i="48"/>
  <c r="BA48" i="48"/>
  <c r="BA49" i="48"/>
  <c r="BA51" i="48"/>
  <c r="BA20" i="48"/>
  <c r="BA21" i="48"/>
  <c r="BS36" i="48"/>
  <c r="BS16" i="48"/>
  <c r="BS15" i="48"/>
  <c r="BS43" i="48"/>
  <c r="BS20" i="48"/>
  <c r="BS9" i="48"/>
  <c r="BS30" i="48"/>
  <c r="BS27" i="48"/>
  <c r="BS18" i="48"/>
  <c r="BS29" i="48"/>
  <c r="BS32" i="48"/>
  <c r="BS14" i="48"/>
  <c r="BS26" i="48"/>
  <c r="BS47" i="48"/>
  <c r="AF78" i="48"/>
  <c r="AF132" i="48"/>
  <c r="AF80" i="48"/>
  <c r="U31" i="48"/>
  <c r="AE31" i="48" s="1"/>
  <c r="AF123" i="48"/>
  <c r="U120" i="48"/>
  <c r="AE120" i="48" s="1"/>
  <c r="AG111" i="48"/>
  <c r="U135" i="48"/>
  <c r="AE135" i="48" s="1"/>
  <c r="AG109" i="48"/>
  <c r="AG130" i="48"/>
  <c r="BS40" i="48"/>
  <c r="BS42" i="48"/>
  <c r="BS10" i="48"/>
  <c r="BS11" i="48"/>
  <c r="BS13" i="48"/>
  <c r="BS33" i="48"/>
  <c r="BS48" i="48"/>
  <c r="BS45" i="48"/>
  <c r="BS52" i="48"/>
  <c r="BS53" i="48"/>
  <c r="BS35" i="48"/>
  <c r="BS49" i="48"/>
  <c r="BS55" i="48"/>
  <c r="BS21" i="48"/>
  <c r="BS12" i="48"/>
  <c r="BS46" i="48"/>
  <c r="BS34" i="48"/>
  <c r="BS41" i="48"/>
  <c r="BS50" i="48"/>
  <c r="BS56" i="48"/>
  <c r="BS19" i="48"/>
  <c r="BS23" i="48"/>
  <c r="BS39" i="48"/>
  <c r="BS54" i="48"/>
  <c r="BS44" i="48"/>
  <c r="BS38" i="48"/>
  <c r="BS24" i="48"/>
  <c r="BS37" i="48"/>
  <c r="BS17" i="48"/>
  <c r="BS25" i="48"/>
  <c r="BS28" i="48"/>
  <c r="BS31" i="48"/>
  <c r="BS51" i="48"/>
  <c r="J65" i="48"/>
  <c r="AJ65" i="48" s="1"/>
  <c r="L65" i="48" s="1"/>
  <c r="J45" i="48"/>
  <c r="J44" i="48"/>
  <c r="G401" i="23"/>
  <c r="F401" i="23"/>
  <c r="AD401" i="23"/>
  <c r="H402" i="23" s="1"/>
  <c r="Z46" i="23" s="1"/>
  <c r="X143" i="48"/>
  <c r="X84" i="48"/>
  <c r="X123" i="48"/>
  <c r="X47" i="48"/>
  <c r="X80" i="48"/>
  <c r="X49" i="48"/>
  <c r="X48" i="48"/>
  <c r="X145" i="48"/>
  <c r="X137" i="48"/>
  <c r="X138" i="48"/>
  <c r="X31" i="48"/>
  <c r="X144" i="48"/>
  <c r="X141" i="48"/>
  <c r="X136" i="48"/>
  <c r="X81" i="48"/>
  <c r="X52" i="48"/>
  <c r="X122" i="48"/>
  <c r="X130" i="48"/>
  <c r="X124" i="48"/>
  <c r="X139" i="48"/>
  <c r="X79" i="48"/>
  <c r="X44" i="48"/>
  <c r="X85" i="48"/>
  <c r="X86" i="48"/>
  <c r="X51" i="48"/>
  <c r="X82" i="48"/>
  <c r="X140" i="48"/>
  <c r="X59" i="48"/>
  <c r="X132" i="48"/>
  <c r="X45" i="48"/>
  <c r="X131" i="48"/>
  <c r="X142" i="48"/>
  <c r="X83" i="48"/>
  <c r="I121" i="48" l="1"/>
  <c r="I44" i="48"/>
  <c r="AE125" i="48"/>
  <c r="I133" i="48"/>
  <c r="AJ84" i="48"/>
  <c r="M84" i="48" s="1"/>
  <c r="AH84" i="48" s="1"/>
  <c r="AE100" i="48"/>
  <c r="I96" i="48"/>
  <c r="AE105" i="48"/>
  <c r="I69" i="48"/>
  <c r="AE145" i="48"/>
  <c r="AE130" i="48"/>
  <c r="I76" i="48"/>
  <c r="I80" i="48"/>
  <c r="L85" i="48"/>
  <c r="AE68" i="48"/>
  <c r="AE43" i="48"/>
  <c r="J43" i="48" s="1"/>
  <c r="AJ43" i="48" s="1"/>
  <c r="L43" i="48" s="1"/>
  <c r="I90" i="48"/>
  <c r="AE52" i="48"/>
  <c r="AE132" i="48"/>
  <c r="AE74" i="48"/>
  <c r="I66" i="48"/>
  <c r="I127" i="48"/>
  <c r="AE119" i="48"/>
  <c r="AJ45" i="48"/>
  <c r="AK45" i="48" s="1"/>
  <c r="M45" i="48" s="1"/>
  <c r="I99" i="48"/>
  <c r="AE139" i="48"/>
  <c r="I97" i="48"/>
  <c r="AE111" i="48"/>
  <c r="Q45" i="48"/>
  <c r="N45" i="48" s="1"/>
  <c r="AE136" i="48"/>
  <c r="I72" i="48"/>
  <c r="I83" i="48"/>
  <c r="I108" i="48"/>
  <c r="AE129" i="48"/>
  <c r="AE95" i="48"/>
  <c r="AE124" i="48"/>
  <c r="I118" i="48"/>
  <c r="I131" i="48"/>
  <c r="AE106" i="48"/>
  <c r="AB36" i="48"/>
  <c r="Y36" i="48" s="1"/>
  <c r="I86" i="48"/>
  <c r="I85" i="48"/>
  <c r="AE115" i="48"/>
  <c r="AJ86" i="48"/>
  <c r="AK86" i="48" s="1"/>
  <c r="C158" i="48"/>
  <c r="AE134" i="48"/>
  <c r="I64" i="48"/>
  <c r="AC49" i="48"/>
  <c r="I47" i="48"/>
  <c r="AK85" i="48"/>
  <c r="D85" i="48"/>
  <c r="I82" i="48"/>
  <c r="AC48" i="48"/>
  <c r="I126" i="48"/>
  <c r="AE138" i="48"/>
  <c r="I123" i="48"/>
  <c r="I128" i="48"/>
  <c r="D157" i="48"/>
  <c r="I122" i="48"/>
  <c r="AE112" i="48"/>
  <c r="I109" i="48"/>
  <c r="AA48" i="48"/>
  <c r="I73" i="48"/>
  <c r="I59" i="48"/>
  <c r="AA49" i="48"/>
  <c r="AE104" i="48"/>
  <c r="Z52" i="48"/>
  <c r="Y52" i="48" s="1"/>
  <c r="I46" i="48"/>
  <c r="Z48" i="48"/>
  <c r="I70" i="48"/>
  <c r="AE102" i="48"/>
  <c r="I67" i="48"/>
  <c r="C159" i="48"/>
  <c r="C157" i="48"/>
  <c r="AE114" i="48"/>
  <c r="AE107" i="48"/>
  <c r="I143" i="48"/>
  <c r="Y129" i="48"/>
  <c r="Y64" i="48"/>
  <c r="J64" i="48" s="1"/>
  <c r="AJ64" i="48" s="1"/>
  <c r="AK64" i="48" s="1"/>
  <c r="M64" i="48" s="1"/>
  <c r="AH64" i="48" s="1"/>
  <c r="Y127" i="48"/>
  <c r="Y43" i="48"/>
  <c r="Y67" i="48"/>
  <c r="Y116" i="48"/>
  <c r="AE48" i="48"/>
  <c r="E44" i="48"/>
  <c r="I71" i="48"/>
  <c r="Y132" i="48"/>
  <c r="AE137" i="48"/>
  <c r="AJ44" i="48"/>
  <c r="AK44" i="48" s="1"/>
  <c r="M44" i="48" s="1"/>
  <c r="Y100" i="48"/>
  <c r="Y59" i="48"/>
  <c r="J59" i="48" s="1"/>
  <c r="AJ59" i="48" s="1"/>
  <c r="AK59" i="48" s="1"/>
  <c r="M59" i="48" s="1"/>
  <c r="Y111" i="48"/>
  <c r="AE65" i="48"/>
  <c r="Y135" i="48"/>
  <c r="Y123" i="48"/>
  <c r="Y41" i="48"/>
  <c r="J41" i="48" s="1"/>
  <c r="AJ41" i="48" s="1"/>
  <c r="AK41" i="48" s="1"/>
  <c r="Y82" i="48"/>
  <c r="J82" i="48" s="1"/>
  <c r="AJ82" i="48" s="1"/>
  <c r="AK82" i="48" s="1"/>
  <c r="M82" i="48" s="1"/>
  <c r="Y96" i="48"/>
  <c r="I84" i="48"/>
  <c r="AE110" i="48"/>
  <c r="Q44" i="48"/>
  <c r="N44" i="48" s="1"/>
  <c r="Y141" i="48"/>
  <c r="Y122" i="48"/>
  <c r="J122" i="48" s="1"/>
  <c r="AJ122" i="48" s="1"/>
  <c r="AK122" i="48" s="1"/>
  <c r="Y93" i="48"/>
  <c r="Y105" i="48"/>
  <c r="I40" i="48"/>
  <c r="Y133" i="48"/>
  <c r="Y112" i="48"/>
  <c r="D159" i="48"/>
  <c r="Y50" i="48"/>
  <c r="J50" i="48" s="1"/>
  <c r="AJ50" i="48" s="1"/>
  <c r="L50" i="48" s="1"/>
  <c r="Y84" i="48"/>
  <c r="Y66" i="48"/>
  <c r="J66" i="48" s="1"/>
  <c r="AJ66" i="48" s="1"/>
  <c r="AK66" i="48" s="1"/>
  <c r="Y130" i="48"/>
  <c r="Y97" i="48"/>
  <c r="Y95" i="48"/>
  <c r="Y73" i="48"/>
  <c r="Y145" i="48"/>
  <c r="Y92" i="48"/>
  <c r="Y45" i="48"/>
  <c r="Y136" i="48"/>
  <c r="Y46" i="48"/>
  <c r="J46" i="48" s="1"/>
  <c r="AJ46" i="48" s="1"/>
  <c r="L46" i="48" s="1"/>
  <c r="Y142" i="48"/>
  <c r="Y80" i="48"/>
  <c r="J80" i="48" s="1"/>
  <c r="AJ80" i="48" s="1"/>
  <c r="L80" i="48" s="1"/>
  <c r="Y126" i="48"/>
  <c r="Y104" i="48"/>
  <c r="C160" i="48"/>
  <c r="Y76" i="48"/>
  <c r="J76" i="48" s="1"/>
  <c r="AJ76" i="48" s="1"/>
  <c r="L76" i="48" s="1"/>
  <c r="Y137" i="48"/>
  <c r="Y124" i="48"/>
  <c r="Y107" i="48"/>
  <c r="Y131" i="48"/>
  <c r="Y40" i="48"/>
  <c r="J40" i="48" s="1"/>
  <c r="AJ40" i="48" s="1"/>
  <c r="L40" i="48" s="1"/>
  <c r="Y119" i="48"/>
  <c r="Y128" i="48"/>
  <c r="Y72" i="48"/>
  <c r="Y74" i="48"/>
  <c r="J74" i="48" s="1"/>
  <c r="AJ74" i="48" s="1"/>
  <c r="L74" i="48" s="1"/>
  <c r="AE142" i="48"/>
  <c r="Y120" i="48"/>
  <c r="I93" i="48"/>
  <c r="AE79" i="48"/>
  <c r="I144" i="48"/>
  <c r="AE92" i="48"/>
  <c r="AE51" i="48"/>
  <c r="AE113" i="48"/>
  <c r="I113" i="48"/>
  <c r="Y101" i="48"/>
  <c r="Y81" i="48"/>
  <c r="Y85" i="48"/>
  <c r="Y69" i="48"/>
  <c r="Y86" i="48"/>
  <c r="Y94" i="48"/>
  <c r="Y118" i="48"/>
  <c r="Y47" i="48"/>
  <c r="J47" i="48" s="1"/>
  <c r="AJ47" i="48" s="1"/>
  <c r="AK47" i="48" s="1"/>
  <c r="M47" i="48" s="1"/>
  <c r="Y90" i="48"/>
  <c r="Y68" i="48"/>
  <c r="Y65" i="48"/>
  <c r="Y83" i="48"/>
  <c r="J83" i="48" s="1"/>
  <c r="AJ83" i="48" s="1"/>
  <c r="L83" i="48" s="1"/>
  <c r="Y91" i="48"/>
  <c r="J91" i="48" s="1"/>
  <c r="AJ91" i="48" s="1"/>
  <c r="L91" i="48" s="1"/>
  <c r="D155" i="48"/>
  <c r="Y44" i="48"/>
  <c r="D158" i="48"/>
  <c r="Y103" i="48"/>
  <c r="Y113" i="48"/>
  <c r="Y143" i="48"/>
  <c r="Y140" i="48"/>
  <c r="AE98" i="48"/>
  <c r="Y114" i="48"/>
  <c r="Y99" i="48"/>
  <c r="J99" i="48" s="1"/>
  <c r="AJ99" i="48" s="1"/>
  <c r="AK99" i="48" s="1"/>
  <c r="M99" i="48" s="1"/>
  <c r="N98" i="48" s="1"/>
  <c r="Y146" i="48"/>
  <c r="C156" i="48"/>
  <c r="D156" i="48"/>
  <c r="Y121" i="48"/>
  <c r="Y37" i="48"/>
  <c r="I140" i="48"/>
  <c r="Y125" i="48"/>
  <c r="Y110" i="48"/>
  <c r="Y53" i="48"/>
  <c r="AE94" i="48"/>
  <c r="Y71" i="48"/>
  <c r="Y78" i="48"/>
  <c r="Y108" i="48"/>
  <c r="Y70" i="48"/>
  <c r="Y139" i="48"/>
  <c r="Y134" i="48"/>
  <c r="Y138" i="48"/>
  <c r="I45" i="48"/>
  <c r="Y115" i="48"/>
  <c r="Y51" i="48"/>
  <c r="J51" i="48" s="1"/>
  <c r="S51" i="48" s="1"/>
  <c r="O51" i="48" s="1"/>
  <c r="AE80" i="23" s="1"/>
  <c r="I117" i="48"/>
  <c r="Y117" i="48"/>
  <c r="Y106" i="48"/>
  <c r="J106" i="48" s="1"/>
  <c r="AJ106" i="48" s="1"/>
  <c r="AK106" i="48" s="1"/>
  <c r="M106" i="48" s="1"/>
  <c r="Y109" i="48"/>
  <c r="C155" i="48"/>
  <c r="Y102" i="48"/>
  <c r="Y35" i="48"/>
  <c r="Y144" i="48"/>
  <c r="AE141" i="48"/>
  <c r="Y79" i="48"/>
  <c r="J79" i="48" s="1"/>
  <c r="AJ79" i="48" s="1"/>
  <c r="L79" i="48" s="1"/>
  <c r="Y34" i="48"/>
  <c r="Y98" i="48"/>
  <c r="Y31" i="48"/>
  <c r="J31" i="48" s="1"/>
  <c r="AJ31" i="48" s="1"/>
  <c r="AK31" i="48" s="1"/>
  <c r="M31" i="48" s="1"/>
  <c r="R53" i="48" s="1"/>
  <c r="Q53" i="48" s="1"/>
  <c r="AE116" i="48"/>
  <c r="I103" i="48"/>
  <c r="I101" i="48"/>
  <c r="I91" i="48"/>
  <c r="AE49" i="48"/>
  <c r="I49" i="48"/>
  <c r="E158" i="48"/>
  <c r="E157" i="48"/>
  <c r="E160" i="48"/>
  <c r="E159" i="48"/>
  <c r="I120" i="48"/>
  <c r="I31" i="48"/>
  <c r="I135" i="48"/>
  <c r="AK65" i="48"/>
  <c r="M65" i="48"/>
  <c r="AH65" i="48" s="1"/>
  <c r="AI401" i="23"/>
  <c r="AJ81" i="48"/>
  <c r="BC14" i="48" l="1"/>
  <c r="BC28" i="48"/>
  <c r="BC36" i="48"/>
  <c r="BC27" i="48"/>
  <c r="BC52" i="48"/>
  <c r="BC38" i="48"/>
  <c r="BC50" i="48"/>
  <c r="BC8" i="48"/>
  <c r="BC48" i="48"/>
  <c r="BC41" i="48"/>
  <c r="BC40" i="48"/>
  <c r="BC47" i="48"/>
  <c r="BC31" i="48"/>
  <c r="BC15" i="48"/>
  <c r="BC23" i="48"/>
  <c r="BC51" i="48"/>
  <c r="BC24" i="48"/>
  <c r="BC13" i="48"/>
  <c r="BC43" i="48"/>
  <c r="BC54" i="48"/>
  <c r="BC25" i="48"/>
  <c r="BC11" i="48"/>
  <c r="BC16" i="48"/>
  <c r="BC35" i="48"/>
  <c r="BC33" i="48"/>
  <c r="BC20" i="48"/>
  <c r="BC39" i="48"/>
  <c r="BC49" i="48"/>
  <c r="BC34" i="48"/>
  <c r="BC10" i="48"/>
  <c r="BC21" i="48"/>
  <c r="BC30" i="48"/>
  <c r="BC19" i="48"/>
  <c r="BC55" i="48"/>
  <c r="BC42" i="48"/>
  <c r="BC22" i="48"/>
  <c r="BC29" i="48"/>
  <c r="BC12" i="48"/>
  <c r="BC45" i="48"/>
  <c r="BC56" i="48"/>
  <c r="BC26" i="48"/>
  <c r="BC44" i="48"/>
  <c r="BC53" i="48"/>
  <c r="BC9" i="48"/>
  <c r="BC32" i="48"/>
  <c r="BC46" i="48"/>
  <c r="BC17" i="48"/>
  <c r="BC37" i="48"/>
  <c r="BC18" i="48"/>
  <c r="L84" i="48"/>
  <c r="AK84" i="48"/>
  <c r="J52" i="48"/>
  <c r="L59" i="48"/>
  <c r="AK43" i="48"/>
  <c r="M43" i="48" s="1"/>
  <c r="Y48" i="48"/>
  <c r="J48" i="48" s="1"/>
  <c r="AJ48" i="48" s="1"/>
  <c r="L48" i="48" s="1"/>
  <c r="L45" i="48"/>
  <c r="M86" i="48"/>
  <c r="AH86" i="48" s="1"/>
  <c r="Y49" i="48"/>
  <c r="J49" i="48" s="1"/>
  <c r="AJ49" i="48" s="1"/>
  <c r="L49" i="48" s="1"/>
  <c r="L86" i="48"/>
  <c r="I159" i="48"/>
  <c r="N192" i="48" s="1"/>
  <c r="L64" i="48"/>
  <c r="AK83" i="48"/>
  <c r="M83" i="48" s="1"/>
  <c r="AH83" i="48" s="1"/>
  <c r="L44" i="48"/>
  <c r="I157" i="48"/>
  <c r="L99" i="48"/>
  <c r="AJ51" i="48"/>
  <c r="L51" i="48" s="1"/>
  <c r="AK46" i="48"/>
  <c r="M46" i="48" s="1"/>
  <c r="L82" i="48"/>
  <c r="L47" i="48"/>
  <c r="L106" i="48"/>
  <c r="AK40" i="48"/>
  <c r="M40" i="48" s="1"/>
  <c r="AK74" i="48"/>
  <c r="M74" i="48" s="1"/>
  <c r="L66" i="48"/>
  <c r="AH99" i="48"/>
  <c r="E156" i="48" s="1"/>
  <c r="I156" i="48" s="1"/>
  <c r="M66" i="48"/>
  <c r="AH66" i="48" s="1"/>
  <c r="AK80" i="48"/>
  <c r="M80" i="48" s="1"/>
  <c r="M122" i="48"/>
  <c r="AH122" i="48" s="1"/>
  <c r="E155" i="48" s="1"/>
  <c r="I155" i="48" s="1"/>
  <c r="L122" i="48"/>
  <c r="AK91" i="48"/>
  <c r="M91" i="48" s="1"/>
  <c r="AH91" i="48" s="1"/>
  <c r="AK50" i="48"/>
  <c r="AK79" i="48"/>
  <c r="M79" i="48" s="1"/>
  <c r="L190" i="48" s="1"/>
  <c r="AK76" i="48"/>
  <c r="M76" i="48" s="1"/>
  <c r="L187" i="48" s="1"/>
  <c r="M187" i="48" s="1"/>
  <c r="L165" i="48"/>
  <c r="M165" i="48" s="1"/>
  <c r="O165" i="48" s="1"/>
  <c r="S31" i="48" s="1"/>
  <c r="O31" i="48" s="1"/>
  <c r="AE71" i="23" s="1"/>
  <c r="AJ71" i="23" s="1"/>
  <c r="L31" i="48"/>
  <c r="AH106" i="48"/>
  <c r="E154" i="48" s="1"/>
  <c r="N105" i="48"/>
  <c r="AH82" i="48"/>
  <c r="C154" i="48" s="1"/>
  <c r="W53" i="48"/>
  <c r="J53" i="48" s="1"/>
  <c r="N53" i="48"/>
  <c r="L181" i="48" s="1"/>
  <c r="J381" i="23"/>
  <c r="AJ46" i="23" s="1"/>
  <c r="B46" i="23" s="1"/>
  <c r="O53" i="48"/>
  <c r="I81" i="48"/>
  <c r="D81" i="48"/>
  <c r="L81" i="48"/>
  <c r="AK81" i="48"/>
  <c r="M81" i="48" s="1"/>
  <c r="X109" i="48"/>
  <c r="X112" i="48"/>
  <c r="X105" i="48"/>
  <c r="X120" i="48"/>
  <c r="X37" i="48"/>
  <c r="X107" i="48"/>
  <c r="X116" i="48"/>
  <c r="X69" i="48"/>
  <c r="X67" i="48"/>
  <c r="X125" i="48"/>
  <c r="X68" i="48"/>
  <c r="X34" i="48"/>
  <c r="X70" i="48"/>
  <c r="X119" i="48"/>
  <c r="X117" i="48"/>
  <c r="X108" i="48"/>
  <c r="X72" i="48"/>
  <c r="X91" i="48"/>
  <c r="X121" i="48"/>
  <c r="X93" i="48"/>
  <c r="X115" i="48"/>
  <c r="X110" i="48"/>
  <c r="X66" i="48"/>
  <c r="X35" i="48"/>
  <c r="X36" i="48"/>
  <c r="X127" i="48"/>
  <c r="X111" i="48"/>
  <c r="X106" i="48"/>
  <c r="X92" i="48"/>
  <c r="X65" i="48"/>
  <c r="X96" i="48"/>
  <c r="X128" i="48"/>
  <c r="X74" i="48"/>
  <c r="X95" i="48"/>
  <c r="X90" i="48"/>
  <c r="X118" i="48"/>
  <c r="X73" i="48"/>
  <c r="X94" i="48"/>
  <c r="X71" i="48"/>
  <c r="X113" i="48"/>
  <c r="X97" i="48"/>
  <c r="X114" i="48"/>
  <c r="X53" i="48"/>
  <c r="X64" i="48"/>
  <c r="X126" i="48"/>
  <c r="X129" i="48"/>
  <c r="AJ52" i="48" l="1"/>
  <c r="L52" i="48" s="1"/>
  <c r="S52" i="48"/>
  <c r="AK48" i="48"/>
  <c r="M48" i="48" s="1"/>
  <c r="AH48" i="48" s="1"/>
  <c r="AK49" i="48"/>
  <c r="M49" i="48" s="1"/>
  <c r="AH49" i="48" s="1"/>
  <c r="N82" i="48"/>
  <c r="N187" i="48"/>
  <c r="O187" i="48" s="1"/>
  <c r="L184" i="48"/>
  <c r="W28" i="44" s="1"/>
  <c r="W32" i="44" s="1"/>
  <c r="Z23" i="44" s="1"/>
  <c r="AC28" i="44" s="1"/>
  <c r="AC5" i="44" s="1"/>
  <c r="AA241" i="23" s="1"/>
  <c r="AI241" i="23" s="1"/>
  <c r="J234" i="23" s="1"/>
  <c r="AJ32" i="23" s="1"/>
  <c r="B32" i="23" s="1"/>
  <c r="G20" i="54" s="1"/>
  <c r="H20" i="54" s="1"/>
  <c r="AK51" i="48"/>
  <c r="M51" i="48" s="1"/>
  <c r="L192" i="48" s="1"/>
  <c r="M192" i="48" s="1"/>
  <c r="O192" i="48" s="1"/>
  <c r="N115" i="48"/>
  <c r="N90" i="48"/>
  <c r="D53" i="48"/>
  <c r="C53" i="48"/>
  <c r="AJ53" i="48"/>
  <c r="I53" i="48"/>
  <c r="I20" i="54" l="1"/>
  <c r="BE15" i="48"/>
  <c r="BE47" i="48"/>
  <c r="BE56" i="48"/>
  <c r="BE48" i="48"/>
  <c r="BE25" i="48"/>
  <c r="BE17" i="48"/>
  <c r="BE46" i="48"/>
  <c r="BE22" i="48"/>
  <c r="BE14" i="48"/>
  <c r="BE39" i="48"/>
  <c r="BE21" i="48"/>
  <c r="BE38" i="48"/>
  <c r="BE45" i="48"/>
  <c r="BE19" i="48"/>
  <c r="BE13" i="48"/>
  <c r="BE11" i="48"/>
  <c r="BE35" i="48"/>
  <c r="BE33" i="48"/>
  <c r="BE42" i="48"/>
  <c r="BE26" i="48"/>
  <c r="BE16" i="48"/>
  <c r="BE23" i="48"/>
  <c r="BE52" i="48"/>
  <c r="BE43" i="48"/>
  <c r="BE53" i="48"/>
  <c r="BE12" i="48"/>
  <c r="BE20" i="48"/>
  <c r="BE54" i="48"/>
  <c r="BE30" i="48"/>
  <c r="BE31" i="48"/>
  <c r="BE50" i="48"/>
  <c r="BE8" i="48"/>
  <c r="BE41" i="48"/>
  <c r="BE29" i="48"/>
  <c r="BE51" i="48"/>
  <c r="BE28" i="48"/>
  <c r="BE36" i="48"/>
  <c r="BE10" i="48"/>
  <c r="BE49" i="48"/>
  <c r="BE32" i="48"/>
  <c r="BE55" i="48"/>
  <c r="BE9" i="48"/>
  <c r="BE27" i="48"/>
  <c r="BE34" i="48"/>
  <c r="BE40" i="48"/>
  <c r="BE37" i="48"/>
  <c r="BE24" i="48"/>
  <c r="BE44" i="48"/>
  <c r="BE18" i="48"/>
  <c r="AK52" i="48"/>
  <c r="M52" i="48" s="1"/>
  <c r="L189" i="48"/>
  <c r="M189" i="48" s="1"/>
  <c r="H158" i="48"/>
  <c r="I158" i="48" s="1"/>
  <c r="N189" i="48" s="1"/>
  <c r="S39" i="48"/>
  <c r="S38" i="48" s="1"/>
  <c r="O38" i="48" s="1"/>
  <c r="S40" i="48"/>
  <c r="S76" i="48"/>
  <c r="O76" i="48" s="1"/>
  <c r="AA487" i="23" s="1"/>
  <c r="AI487" i="23" s="1"/>
  <c r="AA483" i="23" s="1"/>
  <c r="AI483" i="23" s="1"/>
  <c r="J479" i="23" s="1"/>
  <c r="AJ53" i="23" s="1"/>
  <c r="B53" i="23" s="1"/>
  <c r="G29" i="54" s="1"/>
  <c r="H29" i="54" s="1"/>
  <c r="I29" i="54" s="1"/>
  <c r="S41" i="48"/>
  <c r="AA452" i="23"/>
  <c r="D160" i="48"/>
  <c r="I160" i="48" s="1"/>
  <c r="D154" i="48"/>
  <c r="L53" i="48"/>
  <c r="AK53" i="48"/>
  <c r="M53" i="48" s="1"/>
  <c r="O189" i="48" l="1"/>
  <c r="S80" i="48" s="1"/>
  <c r="O80" i="48" s="1"/>
  <c r="AA475" i="23" s="1"/>
  <c r="AI475" i="23" s="1"/>
  <c r="I154" i="48"/>
  <c r="N193" i="48"/>
  <c r="O193" i="48" s="1"/>
  <c r="O77" i="48"/>
  <c r="AA194" i="23" s="1"/>
  <c r="AI194" i="23" s="1"/>
  <c r="AA189" i="23" s="1"/>
  <c r="AI189" i="23" s="1"/>
  <c r="AA188" i="23" s="1"/>
  <c r="AI188" i="23" s="1"/>
  <c r="J184" i="23" s="1"/>
  <c r="S77" i="48"/>
  <c r="AE76" i="23"/>
  <c r="AJ76" i="23" s="1"/>
  <c r="BG27" i="48" l="1"/>
  <c r="BG33" i="48"/>
  <c r="BG13" i="48"/>
  <c r="BG43" i="48"/>
  <c r="BG23" i="48"/>
  <c r="BG44" i="48"/>
  <c r="BG20" i="48"/>
  <c r="BG29" i="48"/>
  <c r="BG25" i="48"/>
  <c r="BG53" i="48"/>
  <c r="BG8" i="48"/>
  <c r="BG10" i="48"/>
  <c r="BG52" i="48"/>
  <c r="BG21" i="48"/>
  <c r="BG15" i="48"/>
  <c r="BG48" i="48"/>
  <c r="BG9" i="48"/>
  <c r="BG30" i="48"/>
  <c r="BG45" i="48"/>
  <c r="BG41" i="48"/>
  <c r="BG22" i="48"/>
  <c r="BG39" i="48"/>
  <c r="BG56" i="48"/>
  <c r="BG38" i="48"/>
  <c r="BG36" i="48"/>
  <c r="BG26" i="48"/>
  <c r="BG54" i="48"/>
  <c r="BG31" i="48"/>
  <c r="BG37" i="48"/>
  <c r="BG35" i="48"/>
  <c r="BG34" i="48"/>
  <c r="BG42" i="48"/>
  <c r="BG51" i="48"/>
  <c r="BG16" i="48"/>
  <c r="BG46" i="48"/>
  <c r="BG55" i="48"/>
  <c r="BG24" i="48"/>
  <c r="BG32" i="48"/>
  <c r="BG19" i="48"/>
  <c r="BG11" i="48"/>
  <c r="BG14" i="48"/>
  <c r="BG12" i="48"/>
  <c r="BG28" i="48"/>
  <c r="BG18" i="48"/>
  <c r="BG40" i="48"/>
  <c r="BG49" i="48"/>
  <c r="BG17" i="48"/>
  <c r="BG50" i="48"/>
  <c r="BG47" i="48"/>
  <c r="AJ30" i="23"/>
  <c r="B30" i="23" s="1"/>
  <c r="G19" i="54" s="1"/>
  <c r="H19" i="54" s="1"/>
  <c r="I19" i="54" s="1"/>
  <c r="N167" i="48"/>
  <c r="S49" i="48"/>
  <c r="S48" i="48"/>
  <c r="S42" i="48" s="1"/>
  <c r="O42" i="48" s="1"/>
  <c r="AE72" i="23" s="1"/>
  <c r="AJ72" i="23" s="1"/>
  <c r="S50" i="48"/>
  <c r="S79" i="48"/>
  <c r="O79" i="48" s="1"/>
  <c r="AA450" i="23" s="1"/>
  <c r="AA449" i="23" s="1"/>
  <c r="AI449" i="23" s="1"/>
  <c r="J444" i="23" s="1"/>
  <c r="AA474" i="23" s="1"/>
  <c r="AI474" i="23" s="1"/>
  <c r="J469" i="23" s="1"/>
  <c r="AJ52" i="23" s="1"/>
  <c r="B52" i="23" s="1"/>
  <c r="G28" i="54" s="1"/>
  <c r="H28" i="54" s="1"/>
  <c r="I28" i="54" s="1"/>
  <c r="S43" i="48"/>
  <c r="S44" i="48"/>
  <c r="S47" i="48"/>
  <c r="S45" i="48"/>
  <c r="S46" i="48"/>
  <c r="X76" i="48"/>
  <c r="AJ50" i="23" l="1"/>
  <c r="B50" i="23" s="1"/>
  <c r="G26" i="54" s="1"/>
  <c r="H26" i="54" s="1"/>
  <c r="I26" i="54" s="1"/>
  <c r="BI8" i="48" l="1"/>
  <c r="BI31" i="48"/>
  <c r="BI35" i="48"/>
  <c r="BI10" i="48"/>
  <c r="BI13" i="48"/>
  <c r="BI42" i="48"/>
  <c r="BI11" i="48"/>
  <c r="BI48" i="48"/>
  <c r="BI29" i="48"/>
  <c r="BI41" i="48"/>
  <c r="BI21" i="48"/>
  <c r="BI16" i="48"/>
  <c r="BI9" i="48"/>
  <c r="BI18" i="48"/>
  <c r="BI27" i="48"/>
  <c r="BI50" i="48"/>
  <c r="BI53" i="48"/>
  <c r="BI25" i="48"/>
  <c r="BI56" i="48"/>
  <c r="BI19" i="48"/>
  <c r="BI39" i="48"/>
  <c r="BI36" i="48"/>
  <c r="BI54" i="48"/>
  <c r="BI26" i="48"/>
  <c r="BI23" i="48"/>
  <c r="BI28" i="48"/>
  <c r="BI22" i="48"/>
  <c r="BI33" i="48"/>
  <c r="BI12" i="48"/>
  <c r="BI45" i="48"/>
  <c r="BI38" i="48"/>
  <c r="BI47" i="48"/>
  <c r="BI49" i="48"/>
  <c r="BI43" i="48"/>
  <c r="BI20" i="48"/>
  <c r="BI37" i="48"/>
  <c r="BI14" i="48"/>
  <c r="BI44" i="48"/>
  <c r="BI51" i="48"/>
  <c r="BI40" i="48"/>
  <c r="BI55" i="48"/>
  <c r="BI32" i="48"/>
  <c r="BI46" i="48"/>
  <c r="BI24" i="48"/>
  <c r="BI52" i="48"/>
  <c r="BI17" i="48"/>
  <c r="BI30" i="48"/>
  <c r="BI34" i="48"/>
  <c r="BI15" i="48"/>
  <c r="X101" i="48"/>
  <c r="X98" i="48"/>
  <c r="X133" i="48"/>
  <c r="X103" i="48"/>
  <c r="X134" i="48"/>
  <c r="X102" i="48"/>
  <c r="X40" i="48"/>
  <c r="X104" i="48"/>
  <c r="X100" i="48"/>
  <c r="X135" i="48"/>
  <c r="X99" i="48"/>
  <c r="Q34" i="48" l="1"/>
  <c r="BK51" i="48" l="1"/>
  <c r="BK52" i="48"/>
  <c r="BK47" i="48"/>
  <c r="BK54" i="48"/>
  <c r="BK44" i="48"/>
  <c r="BK45" i="48"/>
  <c r="BK25" i="48"/>
  <c r="BK29" i="48"/>
  <c r="BK21" i="48"/>
  <c r="BK46" i="48"/>
  <c r="BK9" i="48"/>
  <c r="BK42" i="48"/>
  <c r="BK50" i="48"/>
  <c r="BK23" i="48"/>
  <c r="BK36" i="48"/>
  <c r="BK28" i="48"/>
  <c r="BK14" i="48"/>
  <c r="BK26" i="48"/>
  <c r="BK53" i="48"/>
  <c r="BK20" i="48"/>
  <c r="BK35" i="48"/>
  <c r="BK34" i="48"/>
  <c r="BK56" i="48"/>
  <c r="BK10" i="48"/>
  <c r="BK11" i="48"/>
  <c r="BK15" i="48"/>
  <c r="BK30" i="48"/>
  <c r="BK39" i="48"/>
  <c r="BK22" i="48"/>
  <c r="BK33" i="48"/>
  <c r="BK13" i="48"/>
  <c r="BK49" i="48"/>
  <c r="BK12" i="48"/>
  <c r="BK19" i="48"/>
  <c r="BK48" i="48"/>
  <c r="BK27" i="48"/>
  <c r="BK41" i="48"/>
  <c r="BK24" i="48"/>
  <c r="BK31" i="48"/>
  <c r="BK40" i="48"/>
  <c r="BK18" i="48"/>
  <c r="BK43" i="48"/>
  <c r="BK17" i="48"/>
  <c r="BK32" i="48"/>
  <c r="BK37" i="48"/>
  <c r="BK8" i="48"/>
  <c r="BK16" i="48"/>
  <c r="BK55" i="48"/>
  <c r="BK38" i="48"/>
  <c r="O81" i="48"/>
  <c r="AA435" i="23" s="1"/>
  <c r="AI435" i="23" s="1"/>
  <c r="O52" i="48"/>
  <c r="AA102" i="23" s="1"/>
  <c r="AI102" i="23" s="1"/>
  <c r="AA463" i="23"/>
  <c r="AI463" i="23" s="1"/>
  <c r="J458" i="23" s="1"/>
  <c r="AJ51" i="23" s="1"/>
  <c r="B51" i="23" s="1"/>
  <c r="G27" i="54" s="1"/>
  <c r="H27" i="54" s="1"/>
  <c r="I27" i="54" s="1"/>
  <c r="AA105" i="23"/>
  <c r="AI103" i="23" s="1"/>
  <c r="X46" i="48"/>
  <c r="X43" i="48"/>
  <c r="J96" i="23" l="1"/>
  <c r="AJ21" i="23" s="1"/>
  <c r="B21" i="23" s="1"/>
  <c r="G17" i="54" l="1"/>
  <c r="H17" i="54" s="1"/>
  <c r="I17" i="54" s="1"/>
  <c r="AI409" i="23" l="1"/>
  <c r="AI410" i="23" l="1"/>
  <c r="AI406" i="23" s="1"/>
  <c r="AD421" i="23" s="1"/>
  <c r="AI421" i="23" s="1"/>
  <c r="AD426" i="23" s="1"/>
  <c r="G426" i="23" l="1"/>
  <c r="F426" i="23"/>
  <c r="AI426" i="23"/>
  <c r="AJ47" i="23" l="1"/>
  <c r="B47" i="23" s="1"/>
  <c r="Q36" i="48" l="1"/>
  <c r="O60" i="48" l="1"/>
  <c r="AA172" i="23" s="1"/>
  <c r="AI172" i="23" s="1"/>
  <c r="J169" i="23" s="1"/>
  <c r="O54" i="48"/>
  <c r="AA116" i="23" s="1"/>
  <c r="AI116" i="23" s="1"/>
  <c r="J112" i="23" s="1"/>
  <c r="AJ22" i="23" s="1"/>
  <c r="B22" i="23" s="1"/>
  <c r="O55" i="48"/>
  <c r="AA122" i="23" s="1"/>
  <c r="AI122" i="23" s="1"/>
  <c r="J119" i="23" s="1"/>
  <c r="AJ23" i="23" s="1"/>
  <c r="B23" i="23" s="1"/>
  <c r="O33" i="48"/>
  <c r="O32" i="48"/>
  <c r="O58" i="48"/>
  <c r="AA153" i="23" s="1"/>
  <c r="AI153" i="23" s="1"/>
  <c r="J150" i="23" s="1"/>
  <c r="AJ26" i="23" s="1"/>
  <c r="B26" i="23" s="1"/>
  <c r="O59" i="48"/>
  <c r="AA161" i="23" s="1"/>
  <c r="AI161" i="23" s="1"/>
  <c r="J156" i="23" s="1"/>
  <c r="AJ27" i="23" s="1"/>
  <c r="B27" i="23" s="1"/>
  <c r="G18" i="54" s="1"/>
  <c r="H18" i="54" s="1"/>
  <c r="I18" i="54" s="1"/>
  <c r="O64" i="48"/>
  <c r="O56" i="48"/>
  <c r="L167" i="48"/>
  <c r="AA129" i="23" l="1"/>
  <c r="AI129" i="23" s="1"/>
  <c r="AJ28" i="23"/>
  <c r="B28" i="23" s="1"/>
  <c r="R34" i="48"/>
  <c r="M167" i="48"/>
  <c r="O167" i="48" s="1"/>
  <c r="M185" i="48"/>
  <c r="J60" i="48" l="1"/>
  <c r="J61" i="48" s="1"/>
  <c r="J63" i="48" s="1"/>
  <c r="AS4" i="48" s="1"/>
  <c r="AT4" i="23" s="1"/>
  <c r="S59" i="48"/>
  <c r="S32" i="48"/>
  <c r="S58" i="48"/>
  <c r="S54" i="48"/>
  <c r="S57" i="48"/>
  <c r="S56" i="48"/>
  <c r="S33" i="48"/>
  <c r="AA128" i="23"/>
  <c r="AI128" i="23" s="1"/>
  <c r="J125" i="23" s="1"/>
  <c r="AJ24" i="23" s="1"/>
  <c r="B24" i="23" s="1"/>
  <c r="O75" i="48"/>
  <c r="S81" i="48"/>
  <c r="S55" i="48"/>
  <c r="S74" i="48"/>
  <c r="S64" i="48"/>
  <c r="W35" i="48"/>
  <c r="O34" i="48"/>
  <c r="O36" i="48"/>
  <c r="AD299" i="23" s="1"/>
  <c r="AI299" i="23" s="1"/>
  <c r="J297" i="23" s="1"/>
  <c r="N36" i="48"/>
  <c r="N34" i="48"/>
  <c r="W36" i="48"/>
  <c r="W34" i="48"/>
  <c r="W37" i="48"/>
  <c r="S34" i="48" l="1"/>
  <c r="AA135" i="23"/>
  <c r="AI135" i="23" s="1"/>
  <c r="J132" i="23" s="1"/>
  <c r="AJ25" i="23" s="1"/>
  <c r="B25" i="23" s="1"/>
  <c r="G16" i="54" s="1"/>
  <c r="H16" i="54" s="1"/>
  <c r="I16" i="54" s="1"/>
  <c r="AS7" i="48"/>
  <c r="AT7" i="23" s="1"/>
  <c r="AS8" i="48"/>
  <c r="AT8" i="23" s="1"/>
  <c r="AS11" i="48"/>
  <c r="AT11" i="23" s="1"/>
  <c r="AS5" i="48"/>
  <c r="AT5" i="23" s="1"/>
  <c r="F378" i="23"/>
  <c r="J377" i="23" s="1"/>
  <c r="AJ43" i="23" s="1"/>
  <c r="B43" i="23" s="1"/>
  <c r="D75" i="48"/>
  <c r="F75" i="48"/>
  <c r="AF75" i="48" s="1"/>
  <c r="AS9" i="48"/>
  <c r="AT9" i="23" s="1"/>
  <c r="I37" i="48"/>
  <c r="D37" i="48"/>
  <c r="AJ37" i="48"/>
  <c r="S60" i="48"/>
  <c r="L174" i="23"/>
  <c r="AI174" i="23"/>
  <c r="AS10" i="48"/>
  <c r="AT10" i="23" s="1"/>
  <c r="AS14" i="48"/>
  <c r="AT14" i="23" s="1"/>
  <c r="AJ41" i="23"/>
  <c r="B41" i="23" s="1"/>
  <c r="G23" i="54" s="1"/>
  <c r="H23" i="54" s="1"/>
  <c r="I23" i="54" s="1"/>
  <c r="AD344" i="23"/>
  <c r="AI344" i="23" s="1"/>
  <c r="J342" i="23" s="1"/>
  <c r="AJ42" i="23" s="1"/>
  <c r="B42" i="23" s="1"/>
  <c r="G24" i="54" s="1"/>
  <c r="H24" i="54" s="1"/>
  <c r="I24" i="54" s="1"/>
  <c r="AE83" i="23"/>
  <c r="AJ83" i="23" s="1"/>
  <c r="J69" i="23" s="1"/>
  <c r="AI18" i="23" s="1"/>
  <c r="B18" i="23" s="1"/>
  <c r="AJ34" i="48"/>
  <c r="I34" i="48"/>
  <c r="D34" i="48"/>
  <c r="AS12" i="48"/>
  <c r="AT12" i="23" s="1"/>
  <c r="AS15" i="48"/>
  <c r="AT15" i="23" s="1"/>
  <c r="AJ35" i="48"/>
  <c r="I35" i="48"/>
  <c r="D35" i="48"/>
  <c r="AS6" i="48"/>
  <c r="AT6" i="23" s="1"/>
  <c r="S36" i="48"/>
  <c r="D36" i="48"/>
  <c r="AJ36" i="48"/>
  <c r="I36" i="48"/>
  <c r="AS3" i="48"/>
  <c r="AT3" i="23" s="1"/>
  <c r="AS13" i="48"/>
  <c r="AT13" i="23" s="1"/>
  <c r="M37" i="48" l="1"/>
  <c r="AK37" i="48"/>
  <c r="L37" i="48"/>
  <c r="AA434" i="23"/>
  <c r="AI434" i="23" s="1"/>
  <c r="J431" i="23" s="1"/>
  <c r="AJ49" i="23" s="1"/>
  <c r="B49" i="23" s="1"/>
  <c r="G25" i="54" s="1"/>
  <c r="H25" i="54" s="1"/>
  <c r="I25" i="54" s="1"/>
  <c r="L36" i="48"/>
  <c r="M36" i="48"/>
  <c r="AK36" i="48"/>
  <c r="AK35" i="48"/>
  <c r="M35" i="48"/>
  <c r="L35" i="48"/>
  <c r="AK34" i="48"/>
  <c r="M34" i="48"/>
  <c r="L34" i="48"/>
  <c r="B48" i="54" a="1"/>
  <c r="B42" i="54" a="1"/>
  <c r="B18" i="54" a="1"/>
  <c r="B51" i="54" a="1"/>
  <c r="B36" i="54" a="1"/>
  <c r="B21" i="54" a="1"/>
  <c r="B15" i="54" a="1"/>
  <c r="B30" i="54" a="1"/>
  <c r="B24" i="54" a="1"/>
  <c r="B39" i="54" a="1"/>
  <c r="B33" i="54" a="1"/>
  <c r="B27" i="54" a="1"/>
  <c r="B45" i="54" a="1"/>
  <c r="B45" i="54" l="1"/>
  <c r="D46" i="54" s="1"/>
  <c r="B27" i="54"/>
  <c r="D28" i="54" s="1"/>
  <c r="B33" i="54"/>
  <c r="D34" i="54" s="1"/>
  <c r="B39" i="54"/>
  <c r="D40" i="54" s="1"/>
  <c r="B24" i="54"/>
  <c r="D25" i="54" s="1"/>
  <c r="B30" i="54"/>
  <c r="D31" i="54" s="1"/>
  <c r="B15" i="54"/>
  <c r="B21" i="54"/>
  <c r="D22" i="54" s="1"/>
  <c r="B36" i="54"/>
  <c r="D37" i="54" s="1"/>
  <c r="B51" i="54"/>
  <c r="B18" i="54"/>
  <c r="D19" i="54" s="1"/>
  <c r="B42" i="54"/>
  <c r="D43" i="54" s="1"/>
  <c r="B48" i="54"/>
  <c r="D49" i="54" s="1"/>
  <c r="D50" i="54" l="1"/>
  <c r="D51" i="54"/>
  <c r="D48" i="54"/>
  <c r="D47" i="54"/>
  <c r="D27" i="54"/>
  <c r="D26" i="54"/>
  <c r="D21" i="54"/>
  <c r="D20" i="54"/>
  <c r="D30" i="54"/>
  <c r="D29" i="54"/>
  <c r="D38" i="54"/>
  <c r="D39" i="54"/>
  <c r="D32" i="54"/>
  <c r="D33" i="54"/>
  <c r="D45" i="54"/>
  <c r="D44" i="54"/>
  <c r="D23" i="54"/>
  <c r="D24" i="54"/>
  <c r="D52" i="54"/>
  <c r="D53" i="54" s="1"/>
  <c r="D41" i="54"/>
  <c r="D42" i="54"/>
  <c r="D35" i="54"/>
  <c r="D36" i="54"/>
  <c r="D16" i="54" l="1"/>
  <c r="D17" i="54" s="1"/>
  <c r="C43" i="54"/>
  <c r="C36" i="54"/>
  <c r="C21" i="54"/>
  <c r="C25" i="54"/>
  <c r="C18" i="54"/>
  <c r="C52" i="54"/>
  <c r="C23" i="54"/>
  <c r="C33" i="54"/>
  <c r="C17" i="54"/>
  <c r="C37" i="54"/>
  <c r="C38" i="54"/>
  <c r="C45" i="54"/>
  <c r="C29" i="54"/>
  <c r="C28" i="54"/>
  <c r="C44" i="54"/>
  <c r="C16" i="54"/>
  <c r="C32" i="54"/>
  <c r="C47" i="54"/>
  <c r="C27" i="54"/>
  <c r="C26" i="54"/>
  <c r="C46" i="54"/>
  <c r="C42" i="54"/>
  <c r="C41" i="54"/>
  <c r="C20" i="54"/>
  <c r="C40" i="54"/>
  <c r="C24" i="54"/>
  <c r="C34" i="54"/>
  <c r="C48" i="54"/>
  <c r="C50" i="54"/>
  <c r="C31" i="54"/>
  <c r="C30" i="54"/>
  <c r="C49" i="54"/>
  <c r="C35" i="54"/>
  <c r="C51" i="54"/>
  <c r="C53" i="54"/>
  <c r="C39" i="54"/>
  <c r="C19" i="54"/>
  <c r="C15" i="54"/>
  <c r="C22" i="54"/>
  <c r="D18" i="5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<sst xmlns="http://schemas.openxmlformats.org/spreadsheetml/2006/main" count="4643" uniqueCount="1686">
  <si>
    <t>利用定員</t>
    <rPh sb="0" eb="2">
      <t>リヨウ</t>
    </rPh>
    <rPh sb="2" eb="4">
      <t>テイイン</t>
    </rPh>
    <phoneticPr fontId="1"/>
  </si>
  <si>
    <t>合計</t>
    <rPh sb="0" eb="2">
      <t>ゴウケイ</t>
    </rPh>
    <phoneticPr fontId="1"/>
  </si>
  <si>
    <t>施設名</t>
    <rPh sb="0" eb="2">
      <t>シセツ</t>
    </rPh>
    <rPh sb="2" eb="3">
      <t>メイ</t>
    </rPh>
    <phoneticPr fontId="1"/>
  </si>
  <si>
    <t>施設名</t>
    <rPh sb="0" eb="2">
      <t>シセツ</t>
    </rPh>
    <rPh sb="2" eb="3">
      <t>メイ</t>
    </rPh>
    <phoneticPr fontId="3"/>
  </si>
  <si>
    <t>2号</t>
    <rPh sb="1" eb="2">
      <t>ゴウ</t>
    </rPh>
    <phoneticPr fontId="1"/>
  </si>
  <si>
    <t>3号</t>
    <rPh sb="1" eb="2">
      <t>ゴウ</t>
    </rPh>
    <phoneticPr fontId="1"/>
  </si>
  <si>
    <t>副園長</t>
    <rPh sb="0" eb="3">
      <t>フクエンチョウ</t>
    </rPh>
    <phoneticPr fontId="1"/>
  </si>
  <si>
    <t>その他</t>
    <rPh sb="2" eb="3">
      <t>タ</t>
    </rPh>
    <phoneticPr fontId="1"/>
  </si>
  <si>
    <t>非常勤</t>
    <rPh sb="0" eb="3">
      <t>ヒジョウキン</t>
    </rPh>
    <phoneticPr fontId="1"/>
  </si>
  <si>
    <t>職員名簿</t>
  </si>
  <si>
    <t>氏名</t>
    <rPh sb="0" eb="2">
      <t>シメイ</t>
    </rPh>
    <phoneticPr fontId="1"/>
  </si>
  <si>
    <t>年</t>
    <rPh sb="0" eb="1">
      <t>ネン</t>
    </rPh>
    <phoneticPr fontId="1"/>
  </si>
  <si>
    <t>施設・事業所名</t>
    <rPh sb="0" eb="2">
      <t>シセツ</t>
    </rPh>
    <rPh sb="3" eb="6">
      <t>ジギョウショ</t>
    </rPh>
    <rPh sb="6" eb="7">
      <t>メイ</t>
    </rPh>
    <phoneticPr fontId="1"/>
  </si>
  <si>
    <t>法人名</t>
    <rPh sb="0" eb="2">
      <t>ホウジン</t>
    </rPh>
    <rPh sb="2" eb="3">
      <t>メイ</t>
    </rPh>
    <phoneticPr fontId="1"/>
  </si>
  <si>
    <t>代表者名</t>
    <rPh sb="0" eb="3">
      <t>ダイヒョウシャ</t>
    </rPh>
    <rPh sb="3" eb="4">
      <t>メイ</t>
    </rPh>
    <phoneticPr fontId="1"/>
  </si>
  <si>
    <t>計</t>
    <rPh sb="0" eb="1">
      <t>ケイ</t>
    </rPh>
    <phoneticPr fontId="1"/>
  </si>
  <si>
    <t>クラス編成表</t>
  </si>
  <si>
    <t>クラス名</t>
    <rPh sb="3" eb="4">
      <t>メイ</t>
    </rPh>
    <phoneticPr fontId="3"/>
  </si>
  <si>
    <t>年 齢</t>
    <rPh sb="0" eb="1">
      <t>トシ</t>
    </rPh>
    <rPh sb="2" eb="3">
      <t>ヨワイ</t>
    </rPh>
    <phoneticPr fontId="3"/>
  </si>
  <si>
    <t>人 数</t>
    <rPh sb="0" eb="1">
      <t>ヒト</t>
    </rPh>
    <rPh sb="2" eb="3">
      <t>カズ</t>
    </rPh>
    <phoneticPr fontId="3"/>
  </si>
  <si>
    <t>副担任名</t>
    <rPh sb="0" eb="3">
      <t>フクタンニン</t>
    </rPh>
    <rPh sb="3" eb="4">
      <t>メイ</t>
    </rPh>
    <phoneticPr fontId="3"/>
  </si>
  <si>
    <t>備考</t>
    <rPh sb="0" eb="2">
      <t>ビコウ</t>
    </rPh>
    <phoneticPr fontId="3"/>
  </si>
  <si>
    <t>合計</t>
    <rPh sb="0" eb="2">
      <t>ゴウケイ</t>
    </rPh>
    <phoneticPr fontId="3"/>
  </si>
  <si>
    <t>児童数計</t>
    <rPh sb="0" eb="2">
      <t>ジドウ</t>
    </rPh>
    <rPh sb="3" eb="4">
      <t>ケイ</t>
    </rPh>
    <phoneticPr fontId="3"/>
  </si>
  <si>
    <t>Ⅰ　総括表</t>
    <rPh sb="2" eb="5">
      <t>ソウカツヒョウ</t>
    </rPh>
    <phoneticPr fontId="1"/>
  </si>
  <si>
    <t>所在地</t>
    <rPh sb="0" eb="3">
      <t>ショザイチ</t>
    </rPh>
    <phoneticPr fontId="1"/>
  </si>
  <si>
    <t>名</t>
    <rPh sb="0" eb="1">
      <t>メイ</t>
    </rPh>
    <phoneticPr fontId="1"/>
  </si>
  <si>
    <t>加算・調整項目</t>
    <rPh sb="0" eb="2">
      <t>カサン</t>
    </rPh>
    <rPh sb="3" eb="5">
      <t>チョウセイ</t>
    </rPh>
    <rPh sb="5" eb="7">
      <t>コウモク</t>
    </rPh>
    <phoneticPr fontId="1"/>
  </si>
  <si>
    <t>備考</t>
    <rPh sb="0" eb="2">
      <t>ビコウ</t>
    </rPh>
    <phoneticPr fontId="1"/>
  </si>
  <si>
    <t>基本加算部分</t>
    <rPh sb="0" eb="2">
      <t>キホン</t>
    </rPh>
    <rPh sb="2" eb="4">
      <t>カサン</t>
    </rPh>
    <rPh sb="4" eb="6">
      <t>ブブン</t>
    </rPh>
    <phoneticPr fontId="1"/>
  </si>
  <si>
    <t>副園長・教頭配置加算</t>
    <rPh sb="0" eb="3">
      <t>フクエンチョウ</t>
    </rPh>
    <rPh sb="4" eb="6">
      <t>キョウトウ</t>
    </rPh>
    <rPh sb="6" eb="8">
      <t>ハイチ</t>
    </rPh>
    <rPh sb="8" eb="10">
      <t>カサン</t>
    </rPh>
    <phoneticPr fontId="1"/>
  </si>
  <si>
    <t>3歳児配置改善加算</t>
    <rPh sb="1" eb="2">
      <t>サイ</t>
    </rPh>
    <rPh sb="3" eb="5">
      <t>ハイチ</t>
    </rPh>
    <rPh sb="5" eb="7">
      <t>カイゼン</t>
    </rPh>
    <rPh sb="7" eb="9">
      <t>カサン</t>
    </rPh>
    <phoneticPr fontId="1"/>
  </si>
  <si>
    <t>満3歳児対応加配加算</t>
    <rPh sb="0" eb="1">
      <t>マン</t>
    </rPh>
    <rPh sb="2" eb="3">
      <t>サイ</t>
    </rPh>
    <rPh sb="4" eb="6">
      <t>タイオウ</t>
    </rPh>
    <rPh sb="6" eb="8">
      <t>カハイ</t>
    </rPh>
    <rPh sb="8" eb="10">
      <t>カサン</t>
    </rPh>
    <phoneticPr fontId="1"/>
  </si>
  <si>
    <t>チーム保育加配加算</t>
    <rPh sb="3" eb="5">
      <t>ホイク</t>
    </rPh>
    <rPh sb="5" eb="7">
      <t>カハイ</t>
    </rPh>
    <rPh sb="7" eb="9">
      <t>カサン</t>
    </rPh>
    <phoneticPr fontId="1"/>
  </si>
  <si>
    <t>通園送迎加算</t>
    <rPh sb="0" eb="2">
      <t>ツウエン</t>
    </rPh>
    <rPh sb="2" eb="4">
      <t>ソウゲイ</t>
    </rPh>
    <rPh sb="4" eb="6">
      <t>カサン</t>
    </rPh>
    <phoneticPr fontId="1"/>
  </si>
  <si>
    <t>外部監査費加算</t>
    <rPh sb="0" eb="2">
      <t>ガイブ</t>
    </rPh>
    <rPh sb="2" eb="4">
      <t>カンサ</t>
    </rPh>
    <rPh sb="4" eb="5">
      <t>ヒ</t>
    </rPh>
    <rPh sb="5" eb="7">
      <t>カサン</t>
    </rPh>
    <phoneticPr fontId="1"/>
  </si>
  <si>
    <t>加減調整部分</t>
    <rPh sb="0" eb="2">
      <t>カゲン</t>
    </rPh>
    <rPh sb="2" eb="4">
      <t>チョウセイ</t>
    </rPh>
    <rPh sb="4" eb="6">
      <t>ブブン</t>
    </rPh>
    <phoneticPr fontId="1"/>
  </si>
  <si>
    <t>乗除調整部分</t>
    <rPh sb="0" eb="2">
      <t>ジョウジョ</t>
    </rPh>
    <rPh sb="2" eb="4">
      <t>チョウセイ</t>
    </rPh>
    <rPh sb="4" eb="6">
      <t>ブブン</t>
    </rPh>
    <phoneticPr fontId="1"/>
  </si>
  <si>
    <t>特定加算部分</t>
    <rPh sb="0" eb="2">
      <t>トクテイ</t>
    </rPh>
    <rPh sb="2" eb="4">
      <t>カサン</t>
    </rPh>
    <rPh sb="4" eb="6">
      <t>ブブン</t>
    </rPh>
    <phoneticPr fontId="1"/>
  </si>
  <si>
    <t>療育支援加算</t>
    <rPh sb="0" eb="2">
      <t>リョウイク</t>
    </rPh>
    <rPh sb="2" eb="4">
      <t>シエン</t>
    </rPh>
    <rPh sb="4" eb="6">
      <t>カサン</t>
    </rPh>
    <phoneticPr fontId="1"/>
  </si>
  <si>
    <t>指導充実加配加算</t>
    <rPh sb="0" eb="2">
      <t>シドウ</t>
    </rPh>
    <rPh sb="2" eb="4">
      <t>ジュウジツ</t>
    </rPh>
    <rPh sb="4" eb="6">
      <t>カハイ</t>
    </rPh>
    <rPh sb="6" eb="8">
      <t>カサン</t>
    </rPh>
    <phoneticPr fontId="1"/>
  </si>
  <si>
    <t>事務負担対応加配加算</t>
    <rPh sb="0" eb="2">
      <t>ジム</t>
    </rPh>
    <rPh sb="2" eb="4">
      <t>フタン</t>
    </rPh>
    <rPh sb="4" eb="6">
      <t>タイオウ</t>
    </rPh>
    <rPh sb="6" eb="8">
      <t>カハイ</t>
    </rPh>
    <rPh sb="8" eb="10">
      <t>カサン</t>
    </rPh>
    <phoneticPr fontId="1"/>
  </si>
  <si>
    <t>冷暖房費加算</t>
    <rPh sb="0" eb="3">
      <t>レイダンボウ</t>
    </rPh>
    <rPh sb="3" eb="4">
      <t>ヒ</t>
    </rPh>
    <rPh sb="4" eb="6">
      <t>カサン</t>
    </rPh>
    <phoneticPr fontId="1"/>
  </si>
  <si>
    <t>施設関係者評価加算</t>
    <rPh sb="0" eb="2">
      <t>シセツ</t>
    </rPh>
    <rPh sb="2" eb="5">
      <t>カンケイシャ</t>
    </rPh>
    <rPh sb="5" eb="7">
      <t>ヒョウカ</t>
    </rPh>
    <rPh sb="7" eb="9">
      <t>カサン</t>
    </rPh>
    <phoneticPr fontId="1"/>
  </si>
  <si>
    <t>除雪費加算</t>
    <rPh sb="0" eb="2">
      <t>ジョセツ</t>
    </rPh>
    <rPh sb="2" eb="3">
      <t>ヒ</t>
    </rPh>
    <rPh sb="3" eb="5">
      <t>カサン</t>
    </rPh>
    <phoneticPr fontId="1"/>
  </si>
  <si>
    <t>降灰除去費加算</t>
    <rPh sb="0" eb="2">
      <t>コウハイ</t>
    </rPh>
    <rPh sb="2" eb="4">
      <t>ジョキョ</t>
    </rPh>
    <rPh sb="4" eb="5">
      <t>ヒ</t>
    </rPh>
    <rPh sb="5" eb="7">
      <t>カサン</t>
    </rPh>
    <phoneticPr fontId="1"/>
  </si>
  <si>
    <t>施設機能強化推進費加算</t>
    <rPh sb="0" eb="2">
      <t>シセツ</t>
    </rPh>
    <rPh sb="2" eb="4">
      <t>キノウ</t>
    </rPh>
    <rPh sb="4" eb="6">
      <t>キョウカ</t>
    </rPh>
    <rPh sb="6" eb="8">
      <t>スイシン</t>
    </rPh>
    <rPh sb="8" eb="9">
      <t>ヒ</t>
    </rPh>
    <rPh sb="9" eb="11">
      <t>カサン</t>
    </rPh>
    <phoneticPr fontId="1"/>
  </si>
  <si>
    <t>小学校接続加算</t>
    <rPh sb="0" eb="3">
      <t>ショウガッコウ</t>
    </rPh>
    <rPh sb="3" eb="5">
      <t>セツゾク</t>
    </rPh>
    <rPh sb="5" eb="7">
      <t>カサン</t>
    </rPh>
    <phoneticPr fontId="1"/>
  </si>
  <si>
    <t>第三者評価受審加算</t>
    <rPh sb="0" eb="3">
      <t>ダイサンシャ</t>
    </rPh>
    <rPh sb="3" eb="5">
      <t>ヒョウカ</t>
    </rPh>
    <rPh sb="5" eb="7">
      <t>ジュシン</t>
    </rPh>
    <rPh sb="7" eb="9">
      <t>カサン</t>
    </rPh>
    <phoneticPr fontId="1"/>
  </si>
  <si>
    <t>Ⅱ　個票</t>
    <rPh sb="2" eb="4">
      <t>コヒョウ</t>
    </rPh>
    <phoneticPr fontId="1"/>
  </si>
  <si>
    <t>2　副園長・教頭配置加算</t>
    <rPh sb="2" eb="5">
      <t>フクエンチョウ</t>
    </rPh>
    <rPh sb="6" eb="8">
      <t>キョウトウ</t>
    </rPh>
    <rPh sb="8" eb="10">
      <t>ハイチ</t>
    </rPh>
    <rPh sb="10" eb="12">
      <t>カサン</t>
    </rPh>
    <phoneticPr fontId="1"/>
  </si>
  <si>
    <t>添付書類</t>
    <rPh sb="0" eb="2">
      <t>テンプ</t>
    </rPh>
    <rPh sb="2" eb="4">
      <t>ショルイ</t>
    </rPh>
    <phoneticPr fontId="1"/>
  </si>
  <si>
    <t>添付　□</t>
    <rPh sb="0" eb="2">
      <t>テンプ</t>
    </rPh>
    <phoneticPr fontId="1"/>
  </si>
  <si>
    <t>4月</t>
    <rPh sb="1" eb="2">
      <t>ガツ</t>
    </rPh>
    <phoneticPr fontId="1"/>
  </si>
  <si>
    <t>5月</t>
  </si>
  <si>
    <t>6月</t>
  </si>
  <si>
    <t>7月</t>
  </si>
  <si>
    <t>8月</t>
  </si>
  <si>
    <t>9月</t>
  </si>
  <si>
    <t>10月</t>
  </si>
  <si>
    <t>11月</t>
  </si>
  <si>
    <t>12月</t>
  </si>
  <si>
    <t>1月</t>
  </si>
  <si>
    <t>2月</t>
  </si>
  <si>
    <t>3月</t>
  </si>
  <si>
    <t>年平均在所率</t>
    <rPh sb="0" eb="3">
      <t>ネンヘイキン</t>
    </rPh>
    <rPh sb="3" eb="5">
      <t>ザイショ</t>
    </rPh>
    <rPh sb="5" eb="6">
      <t>リツ</t>
    </rPh>
    <phoneticPr fontId="1"/>
  </si>
  <si>
    <t>月初日在籍子ども数</t>
    <rPh sb="0" eb="1">
      <t>ツキ</t>
    </rPh>
    <rPh sb="1" eb="3">
      <t>ショニチ</t>
    </rPh>
    <rPh sb="3" eb="5">
      <t>ザイセキ</t>
    </rPh>
    <rPh sb="5" eb="6">
      <t>コ</t>
    </rPh>
    <rPh sb="8" eb="9">
      <t>スウ</t>
    </rPh>
    <phoneticPr fontId="1"/>
  </si>
  <si>
    <t>月初日利用定員</t>
    <rPh sb="0" eb="1">
      <t>ツキ</t>
    </rPh>
    <rPh sb="1" eb="3">
      <t>ショニチ</t>
    </rPh>
    <rPh sb="3" eb="5">
      <t>リヨウ</t>
    </rPh>
    <rPh sb="5" eb="7">
      <t>テイイン</t>
    </rPh>
    <phoneticPr fontId="1"/>
  </si>
  <si>
    <t>特別児童扶養手当支給対象児童</t>
    <rPh sb="0" eb="2">
      <t>トクベツ</t>
    </rPh>
    <rPh sb="2" eb="4">
      <t>ジドウ</t>
    </rPh>
    <rPh sb="4" eb="6">
      <t>フヨウ</t>
    </rPh>
    <rPh sb="6" eb="8">
      <t>テアテ</t>
    </rPh>
    <rPh sb="8" eb="10">
      <t>シキュウ</t>
    </rPh>
    <rPh sb="10" eb="12">
      <t>タイショウ</t>
    </rPh>
    <rPh sb="12" eb="14">
      <t>ジドウ</t>
    </rPh>
    <phoneticPr fontId="1"/>
  </si>
  <si>
    <t>○</t>
    <phoneticPr fontId="1"/>
  </si>
  <si>
    <t>（あて先）札幌市長</t>
    <rPh sb="3" eb="4">
      <t>サキ</t>
    </rPh>
    <rPh sb="5" eb="9">
      <t>サッポロシチョウ</t>
    </rPh>
    <phoneticPr fontId="1"/>
  </si>
  <si>
    <t>月現在</t>
    <rPh sb="0" eb="1">
      <t>ガツ</t>
    </rPh>
    <rPh sb="1" eb="3">
      <t>ゲンザイ</t>
    </rPh>
    <phoneticPr fontId="1"/>
  </si>
  <si>
    <t>○</t>
  </si>
  <si>
    <t>別途、所定の様式により申請する。</t>
    <rPh sb="0" eb="2">
      <t>ベット</t>
    </rPh>
    <rPh sb="3" eb="5">
      <t>ショテイ</t>
    </rPh>
    <rPh sb="6" eb="8">
      <t>ヨウシキ</t>
    </rPh>
    <rPh sb="11" eb="13">
      <t>シンセイ</t>
    </rPh>
    <phoneticPr fontId="1"/>
  </si>
  <si>
    <t>減算要件</t>
    <rPh sb="0" eb="2">
      <t>ゲンサン</t>
    </rPh>
    <rPh sb="2" eb="4">
      <t>ヨウケン</t>
    </rPh>
    <phoneticPr fontId="1"/>
  </si>
  <si>
    <t>事務職員配置加算</t>
    <rPh sb="0" eb="2">
      <t>ジム</t>
    </rPh>
    <rPh sb="2" eb="4">
      <t>ショクイン</t>
    </rPh>
    <rPh sb="4" eb="6">
      <t>ハイチ</t>
    </rPh>
    <rPh sb="6" eb="8">
      <t>カサン</t>
    </rPh>
    <phoneticPr fontId="1"/>
  </si>
  <si>
    <t>施設長名</t>
    <rPh sb="0" eb="3">
      <t>シセツチョウ</t>
    </rPh>
    <rPh sb="3" eb="4">
      <t>メイ</t>
    </rPh>
    <phoneticPr fontId="1"/>
  </si>
  <si>
    <t>3月加算</t>
    <rPh sb="1" eb="2">
      <t>ガツ</t>
    </rPh>
    <rPh sb="2" eb="4">
      <t>カサン</t>
    </rPh>
    <phoneticPr fontId="1"/>
  </si>
  <si>
    <t>講師配置加算</t>
    <rPh sb="0" eb="2">
      <t>コウシ</t>
    </rPh>
    <rPh sb="2" eb="4">
      <t>ハイチ</t>
    </rPh>
    <rPh sb="4" eb="6">
      <t>カサン</t>
    </rPh>
    <phoneticPr fontId="1"/>
  </si>
  <si>
    <t>2級地</t>
    <rPh sb="1" eb="2">
      <t>キュウ</t>
    </rPh>
    <rPh sb="2" eb="3">
      <t>チ</t>
    </rPh>
    <phoneticPr fontId="1"/>
  </si>
  <si>
    <t>西暦</t>
    <rPh sb="0" eb="2">
      <t>セイレキ</t>
    </rPh>
    <phoneticPr fontId="1"/>
  </si>
  <si>
    <t>その他</t>
    <rPh sb="2" eb="3">
      <t>タ</t>
    </rPh>
    <phoneticPr fontId="1"/>
  </si>
  <si>
    <t>特児</t>
    <rPh sb="0" eb="2">
      <t>トクジ</t>
    </rPh>
    <phoneticPr fontId="1"/>
  </si>
  <si>
    <t>療育</t>
    <rPh sb="0" eb="2">
      <t>リョウイク</t>
    </rPh>
    <phoneticPr fontId="1"/>
  </si>
  <si>
    <t>選択</t>
    <rPh sb="0" eb="2">
      <t>センタク</t>
    </rPh>
    <phoneticPr fontId="1"/>
  </si>
  <si>
    <t>月</t>
    <rPh sb="0" eb="1">
      <t>ツキ</t>
    </rPh>
    <phoneticPr fontId="1"/>
  </si>
  <si>
    <t>チーム</t>
    <phoneticPr fontId="1"/>
  </si>
  <si>
    <t>給食</t>
    <rPh sb="0" eb="2">
      <t>キュウショク</t>
    </rPh>
    <phoneticPr fontId="1"/>
  </si>
  <si>
    <t>②</t>
    <phoneticPr fontId="1"/>
  </si>
  <si>
    <t>副園長加算</t>
    <rPh sb="0" eb="3">
      <t>フクエンチョウ</t>
    </rPh>
    <rPh sb="3" eb="5">
      <t>カサン</t>
    </rPh>
    <phoneticPr fontId="1"/>
  </si>
  <si>
    <t>⑤</t>
    <phoneticPr fontId="1"/>
  </si>
  <si>
    <t>常勤</t>
    <rPh sb="0" eb="2">
      <t>ジョウキン</t>
    </rPh>
    <phoneticPr fontId="1"/>
  </si>
  <si>
    <t>基準日</t>
    <rPh sb="0" eb="3">
      <t>キジュンビ</t>
    </rPh>
    <phoneticPr fontId="1"/>
  </si>
  <si>
    <t>②職員状況</t>
    <rPh sb="1" eb="3">
      <t>ショクイン</t>
    </rPh>
    <rPh sb="3" eb="5">
      <t>ジョウキョウ</t>
    </rPh>
    <phoneticPr fontId="1"/>
  </si>
  <si>
    <t>判定</t>
    <rPh sb="0" eb="2">
      <t>ハンテイ</t>
    </rPh>
    <phoneticPr fontId="1"/>
  </si>
  <si>
    <t>有給</t>
    <rPh sb="0" eb="2">
      <t>ユウキュウ</t>
    </rPh>
    <phoneticPr fontId="1"/>
  </si>
  <si>
    <t>無給</t>
    <rPh sb="0" eb="2">
      <t>ムキュウ</t>
    </rPh>
    <phoneticPr fontId="1"/>
  </si>
  <si>
    <t>&lt;常勤換算&gt;</t>
    <rPh sb="1" eb="3">
      <t>ジョウキン</t>
    </rPh>
    <rPh sb="3" eb="5">
      <t>カンサン</t>
    </rPh>
    <phoneticPr fontId="1"/>
  </si>
  <si>
    <t>初日時点の給与状況</t>
    <rPh sb="0" eb="2">
      <t>ショニチ</t>
    </rPh>
    <rPh sb="2" eb="4">
      <t>ジテン</t>
    </rPh>
    <rPh sb="5" eb="7">
      <t>キュウヨ</t>
    </rPh>
    <rPh sb="7" eb="9">
      <t>ジョウキョウ</t>
    </rPh>
    <phoneticPr fontId="1"/>
  </si>
  <si>
    <t>年齢別配置基準</t>
    <rPh sb="0" eb="2">
      <t>ネンレイ</t>
    </rPh>
    <rPh sb="2" eb="3">
      <t>ベツ</t>
    </rPh>
    <rPh sb="3" eb="5">
      <t>ハイチ</t>
    </rPh>
    <rPh sb="5" eb="7">
      <t>キジュン</t>
    </rPh>
    <phoneticPr fontId="1"/>
  </si>
  <si>
    <t>３歳児配置改善加算</t>
    <rPh sb="1" eb="3">
      <t>サイジ</t>
    </rPh>
    <rPh sb="3" eb="5">
      <t>ハイチ</t>
    </rPh>
    <rPh sb="5" eb="7">
      <t>カイゼン</t>
    </rPh>
    <rPh sb="7" eb="9">
      <t>カサン</t>
    </rPh>
    <phoneticPr fontId="1"/>
  </si>
  <si>
    <t>満３歳児対応加配加算</t>
    <rPh sb="0" eb="1">
      <t>マン</t>
    </rPh>
    <rPh sb="2" eb="4">
      <t>サイジ</t>
    </rPh>
    <rPh sb="4" eb="6">
      <t>タイオウ</t>
    </rPh>
    <rPh sb="6" eb="8">
      <t>カハイ</t>
    </rPh>
    <rPh sb="8" eb="10">
      <t>カサン</t>
    </rPh>
    <phoneticPr fontId="1"/>
  </si>
  <si>
    <t>常勤職員の１日当たりの勤務時間数</t>
    <rPh sb="0" eb="2">
      <t>ジョウキン</t>
    </rPh>
    <rPh sb="2" eb="4">
      <t>ショクイン</t>
    </rPh>
    <rPh sb="6" eb="7">
      <t>ニチ</t>
    </rPh>
    <rPh sb="7" eb="8">
      <t>ア</t>
    </rPh>
    <rPh sb="11" eb="13">
      <t>キンム</t>
    </rPh>
    <rPh sb="13" eb="15">
      <t>ジカン</t>
    </rPh>
    <rPh sb="15" eb="16">
      <t>スウ</t>
    </rPh>
    <phoneticPr fontId="1"/>
  </si>
  <si>
    <t>項目</t>
    <rPh sb="0" eb="2">
      <t>コウモク</t>
    </rPh>
    <phoneticPr fontId="1"/>
  </si>
  <si>
    <t>チーム保育加配加算</t>
    <rPh sb="3" eb="9">
      <t>ホイクカハイカサン</t>
    </rPh>
    <phoneticPr fontId="1"/>
  </si>
  <si>
    <t>５月</t>
    <rPh sb="1" eb="2">
      <t>ガツ</t>
    </rPh>
    <phoneticPr fontId="1"/>
  </si>
  <si>
    <t>６月</t>
    <rPh sb="1" eb="2">
      <t>ガツ</t>
    </rPh>
    <phoneticPr fontId="1"/>
  </si>
  <si>
    <t>７月</t>
  </si>
  <si>
    <t>８月</t>
  </si>
  <si>
    <t>９月</t>
  </si>
  <si>
    <t>１０月</t>
  </si>
  <si>
    <t>１１月</t>
  </si>
  <si>
    <t>１２月</t>
  </si>
  <si>
    <t>１月</t>
  </si>
  <si>
    <t>２月</t>
  </si>
  <si>
    <t>３月</t>
    <phoneticPr fontId="1"/>
  </si>
  <si>
    <t>申請届出状況</t>
    <rPh sb="0" eb="2">
      <t>シンセイ</t>
    </rPh>
    <rPh sb="2" eb="4">
      <t>トドケデ</t>
    </rPh>
    <rPh sb="4" eb="6">
      <t>ジョウキョウ</t>
    </rPh>
    <phoneticPr fontId="1"/>
  </si>
  <si>
    <t>②　当該様式は、本市と施設の間で加算の認定に齟齬が無いかを確認するための様式です。当該様式を申請書に代えて使用することはできませんのでご注意ください。</t>
    <rPh sb="2" eb="4">
      <t>トウガイ</t>
    </rPh>
    <rPh sb="4" eb="6">
      <t>ヨウシキ</t>
    </rPh>
    <rPh sb="8" eb="10">
      <t>ホンシ</t>
    </rPh>
    <rPh sb="11" eb="13">
      <t>シセツ</t>
    </rPh>
    <rPh sb="14" eb="15">
      <t>アイダ</t>
    </rPh>
    <rPh sb="16" eb="18">
      <t>カサン</t>
    </rPh>
    <rPh sb="19" eb="21">
      <t>ニンテイ</t>
    </rPh>
    <rPh sb="22" eb="24">
      <t>ソゴ</t>
    </rPh>
    <rPh sb="25" eb="26">
      <t>ナ</t>
    </rPh>
    <rPh sb="29" eb="31">
      <t>カクニン</t>
    </rPh>
    <rPh sb="36" eb="38">
      <t>ヨウシキ</t>
    </rPh>
    <rPh sb="41" eb="43">
      <t>トウガイ</t>
    </rPh>
    <rPh sb="43" eb="45">
      <t>ヨウシキ</t>
    </rPh>
    <rPh sb="46" eb="49">
      <t>シンセイショ</t>
    </rPh>
    <rPh sb="50" eb="51">
      <t>カ</t>
    </rPh>
    <rPh sb="53" eb="55">
      <t>シヨウ</t>
    </rPh>
    <rPh sb="68" eb="70">
      <t>チュウイ</t>
    </rPh>
    <phoneticPr fontId="1"/>
  </si>
  <si>
    <t>≪作成にあたって≫</t>
    <rPh sb="1" eb="3">
      <t>サクセイ</t>
    </rPh>
    <phoneticPr fontId="1"/>
  </si>
  <si>
    <t>≪施設状況の記載≫</t>
    <rPh sb="1" eb="3">
      <t>シセツ</t>
    </rPh>
    <rPh sb="3" eb="5">
      <t>ジョウキョウ</t>
    </rPh>
    <rPh sb="6" eb="8">
      <t>キサイ</t>
    </rPh>
    <phoneticPr fontId="1"/>
  </si>
  <si>
    <t>１日当たりの（正規）教育時間数</t>
    <rPh sb="1" eb="2">
      <t>ニチ</t>
    </rPh>
    <rPh sb="2" eb="3">
      <t>ア</t>
    </rPh>
    <rPh sb="7" eb="9">
      <t>セイキ</t>
    </rPh>
    <rPh sb="10" eb="12">
      <t>キョウイク</t>
    </rPh>
    <rPh sb="12" eb="14">
      <t>ジカン</t>
    </rPh>
    <rPh sb="14" eb="15">
      <t>スウ</t>
    </rPh>
    <phoneticPr fontId="1"/>
  </si>
  <si>
    <t>申請の有無</t>
    <rPh sb="0" eb="2">
      <t>シンセイ</t>
    </rPh>
    <rPh sb="3" eb="5">
      <t>ウム</t>
    </rPh>
    <phoneticPr fontId="1"/>
  </si>
  <si>
    <t>↓申請の有無に「〇」又は該当する区分を入力し、加算適用月で適用する月を選択してください。</t>
    <rPh sb="1" eb="3">
      <t>シンセイ</t>
    </rPh>
    <rPh sb="4" eb="6">
      <t>ウム</t>
    </rPh>
    <rPh sb="10" eb="11">
      <t>マタ</t>
    </rPh>
    <rPh sb="12" eb="14">
      <t>ガイトウ</t>
    </rPh>
    <rPh sb="16" eb="18">
      <t>クブン</t>
    </rPh>
    <rPh sb="19" eb="21">
      <t>ニュウリョク</t>
    </rPh>
    <rPh sb="23" eb="25">
      <t>カサン</t>
    </rPh>
    <rPh sb="25" eb="27">
      <t>テキヨウ</t>
    </rPh>
    <rPh sb="27" eb="28">
      <t>ツキ</t>
    </rPh>
    <rPh sb="29" eb="31">
      <t>テキヨウ</t>
    </rPh>
    <rPh sb="33" eb="34">
      <t>ツキ</t>
    </rPh>
    <rPh sb="35" eb="37">
      <t>センタク</t>
    </rPh>
    <phoneticPr fontId="1"/>
  </si>
  <si>
    <t>①　各月毎に上から順に埋めてください。最終的に、3月時点で4～3月の全加算状況が埋まるようにご作成ください。例）12月時点→4～12月加算情報</t>
    <rPh sb="2" eb="4">
      <t>カクツキ</t>
    </rPh>
    <rPh sb="4" eb="5">
      <t>ゴト</t>
    </rPh>
    <rPh sb="6" eb="7">
      <t>ウエ</t>
    </rPh>
    <rPh sb="9" eb="10">
      <t>ジュン</t>
    </rPh>
    <rPh sb="11" eb="12">
      <t>ウ</t>
    </rPh>
    <rPh sb="19" eb="22">
      <t>サイシュウテキ</t>
    </rPh>
    <rPh sb="25" eb="26">
      <t>ガツ</t>
    </rPh>
    <rPh sb="26" eb="28">
      <t>ジテン</t>
    </rPh>
    <rPh sb="32" eb="33">
      <t>ガツ</t>
    </rPh>
    <rPh sb="34" eb="37">
      <t>ゼンカサン</t>
    </rPh>
    <rPh sb="37" eb="39">
      <t>ジョウキョウ</t>
    </rPh>
    <rPh sb="40" eb="41">
      <t>ウ</t>
    </rPh>
    <rPh sb="47" eb="49">
      <t>サクセイ</t>
    </rPh>
    <rPh sb="54" eb="55">
      <t>レイ</t>
    </rPh>
    <rPh sb="58" eb="59">
      <t>ガツ</t>
    </rPh>
    <rPh sb="59" eb="61">
      <t>ジテン</t>
    </rPh>
    <rPh sb="66" eb="67">
      <t>ガツ</t>
    </rPh>
    <rPh sb="67" eb="69">
      <t>カサン</t>
    </rPh>
    <rPh sb="69" eb="71">
      <t>ジョウホウ</t>
    </rPh>
    <phoneticPr fontId="1"/>
  </si>
  <si>
    <t>賃金改善</t>
    <rPh sb="0" eb="2">
      <t>チンギン</t>
    </rPh>
    <rPh sb="2" eb="4">
      <t>カイゼン</t>
    </rPh>
    <phoneticPr fontId="1"/>
  </si>
  <si>
    <t>４月</t>
    <rPh sb="1" eb="2">
      <t>ガツ</t>
    </rPh>
    <phoneticPr fontId="1"/>
  </si>
  <si>
    <t>処遇基礎</t>
    <rPh sb="0" eb="2">
      <t>ショグウ</t>
    </rPh>
    <rPh sb="2" eb="4">
      <t>キソ</t>
    </rPh>
    <phoneticPr fontId="1"/>
  </si>
  <si>
    <t>年齢別・処遇Ⅱ</t>
    <rPh sb="0" eb="2">
      <t>ネンレイ</t>
    </rPh>
    <rPh sb="2" eb="3">
      <t>ベツ</t>
    </rPh>
    <rPh sb="4" eb="6">
      <t>ショグウ</t>
    </rPh>
    <phoneticPr fontId="1"/>
  </si>
  <si>
    <t>本園</t>
    <rPh sb="0" eb="1">
      <t>ホン</t>
    </rPh>
    <rPh sb="1" eb="2">
      <t>エン</t>
    </rPh>
    <phoneticPr fontId="1"/>
  </si>
  <si>
    <t>分園</t>
    <rPh sb="0" eb="2">
      <t>ブンエン</t>
    </rPh>
    <phoneticPr fontId="1"/>
  </si>
  <si>
    <t>1号</t>
    <rPh sb="1" eb="2">
      <t>ゴウ</t>
    </rPh>
    <phoneticPr fontId="1"/>
  </si>
  <si>
    <t>休日保育加算</t>
    <rPh sb="0" eb="2">
      <t>キュウジツ</t>
    </rPh>
    <rPh sb="2" eb="4">
      <t>ホイク</t>
    </rPh>
    <rPh sb="4" eb="6">
      <t>カサン</t>
    </rPh>
    <phoneticPr fontId="1"/>
  </si>
  <si>
    <t>夜間保育加算</t>
    <rPh sb="0" eb="2">
      <t>ヤカン</t>
    </rPh>
    <rPh sb="2" eb="4">
      <t>ホイク</t>
    </rPh>
    <rPh sb="4" eb="6">
      <t>カサン</t>
    </rPh>
    <phoneticPr fontId="1"/>
  </si>
  <si>
    <t>減価償却費加算</t>
    <rPh sb="0" eb="2">
      <t>ゲンカ</t>
    </rPh>
    <rPh sb="2" eb="4">
      <t>ショウキャク</t>
    </rPh>
    <rPh sb="4" eb="5">
      <t>ヒ</t>
    </rPh>
    <rPh sb="5" eb="7">
      <t>カサン</t>
    </rPh>
    <phoneticPr fontId="1"/>
  </si>
  <si>
    <t>賃借料加算</t>
    <rPh sb="0" eb="3">
      <t>チンシャクリョウ</t>
    </rPh>
    <rPh sb="3" eb="5">
      <t>カサン</t>
    </rPh>
    <phoneticPr fontId="1"/>
  </si>
  <si>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1"/>
  </si>
  <si>
    <t>学級編成調整加配加算</t>
    <rPh sb="0" eb="2">
      <t>ガッキュウ</t>
    </rPh>
    <rPh sb="2" eb="4">
      <t>ヘンセイ</t>
    </rPh>
    <rPh sb="4" eb="6">
      <t>チョウセイ</t>
    </rPh>
    <rPh sb="6" eb="8">
      <t>カハイ</t>
    </rPh>
    <rPh sb="8" eb="10">
      <t>カサン</t>
    </rPh>
    <phoneticPr fontId="1"/>
  </si>
  <si>
    <t>3　学級編制調整加配加算</t>
    <rPh sb="2" eb="4">
      <t>ガッキュウ</t>
    </rPh>
    <rPh sb="4" eb="6">
      <t>ヘンセイ</t>
    </rPh>
    <rPh sb="6" eb="8">
      <t>チョウセイ</t>
    </rPh>
    <rPh sb="8" eb="10">
      <t>カハイ</t>
    </rPh>
    <rPh sb="10" eb="12">
      <t>カサン</t>
    </rPh>
    <phoneticPr fontId="1"/>
  </si>
  <si>
    <t>4　3歳児配置改善加算</t>
    <rPh sb="3" eb="5">
      <t>サイジ</t>
    </rPh>
    <rPh sb="5" eb="7">
      <t>ハイチ</t>
    </rPh>
    <rPh sb="7" eb="9">
      <t>カイゼン</t>
    </rPh>
    <rPh sb="9" eb="11">
      <t>カサン</t>
    </rPh>
    <phoneticPr fontId="1"/>
  </si>
  <si>
    <t>乳児</t>
    <rPh sb="0" eb="2">
      <t>ニュウジ</t>
    </rPh>
    <phoneticPr fontId="1"/>
  </si>
  <si>
    <t>名</t>
    <rPh sb="0" eb="1">
      <t>ナ</t>
    </rPh>
    <phoneticPr fontId="1"/>
  </si>
  <si>
    <t>1.2歳児</t>
    <rPh sb="3" eb="5">
      <t>サイジ</t>
    </rPh>
    <phoneticPr fontId="1"/>
  </si>
  <si>
    <t>３歳児</t>
    <rPh sb="1" eb="3">
      <t>サイジ</t>
    </rPh>
    <phoneticPr fontId="1"/>
  </si>
  <si>
    <t>４歳以上児</t>
    <rPh sb="1" eb="2">
      <t>サイ</t>
    </rPh>
    <rPh sb="2" eb="4">
      <t>イジョウ</t>
    </rPh>
    <rPh sb="4" eb="5">
      <t>ジ</t>
    </rPh>
    <phoneticPr fontId="1"/>
  </si>
  <si>
    <t>　　計</t>
    <rPh sb="2" eb="3">
      <t>ケイ</t>
    </rPh>
    <phoneticPr fontId="1"/>
  </si>
  <si>
    <t>上記「3」に該当しなくても、右欄の要件全てに該当する改修等を行った場合は「3」に該当する。</t>
    <rPh sb="0" eb="2">
      <t>ジョウキ</t>
    </rPh>
    <rPh sb="6" eb="8">
      <t>ガイトウ</t>
    </rPh>
    <rPh sb="14" eb="15">
      <t>ミギ</t>
    </rPh>
    <rPh sb="15" eb="16">
      <t>ラン</t>
    </rPh>
    <rPh sb="17" eb="19">
      <t>ヨウケン</t>
    </rPh>
    <rPh sb="19" eb="20">
      <t>スベ</t>
    </rPh>
    <rPh sb="22" eb="24">
      <t>ガイトウ</t>
    </rPh>
    <rPh sb="26" eb="28">
      <t>カイシュウ</t>
    </rPh>
    <rPh sb="28" eb="29">
      <t>トウ</t>
    </rPh>
    <rPh sb="30" eb="31">
      <t>オコナ</t>
    </rPh>
    <rPh sb="33" eb="35">
      <t>バアイ</t>
    </rPh>
    <rPh sb="40" eb="42">
      <t>ガイトウ</t>
    </rPh>
    <phoneticPr fontId="1"/>
  </si>
  <si>
    <t>　当該改修等に当たって、国庫補助の交付を受けていない</t>
    <phoneticPr fontId="1"/>
  </si>
  <si>
    <t>加算要件</t>
    <rPh sb="0" eb="2">
      <t>カサン</t>
    </rPh>
    <rPh sb="2" eb="4">
      <t>ヨウケン</t>
    </rPh>
    <phoneticPr fontId="1"/>
  </si>
  <si>
    <t>d-都市部</t>
    <rPh sb="2" eb="5">
      <t>トシブ</t>
    </rPh>
    <phoneticPr fontId="1"/>
  </si>
  <si>
    <t>入所</t>
    <rPh sb="0" eb="2">
      <t>ニュウショ</t>
    </rPh>
    <phoneticPr fontId="1"/>
  </si>
  <si>
    <t>400-800</t>
    <phoneticPr fontId="1"/>
  </si>
  <si>
    <t>800-1200</t>
    <phoneticPr fontId="1"/>
  </si>
  <si>
    <t>1200-</t>
    <phoneticPr fontId="1"/>
  </si>
  <si>
    <t>【認定こども園】</t>
    <rPh sb="1" eb="3">
      <t>ニンテイ</t>
    </rPh>
    <rPh sb="6" eb="7">
      <t>エン</t>
    </rPh>
    <phoneticPr fontId="1"/>
  </si>
  <si>
    <t>主幹保育教諭専任化（保育）</t>
    <rPh sb="0" eb="2">
      <t>シュカン</t>
    </rPh>
    <rPh sb="2" eb="4">
      <t>ホイク</t>
    </rPh>
    <rPh sb="4" eb="6">
      <t>キョウユ</t>
    </rPh>
    <rPh sb="6" eb="8">
      <t>センニン</t>
    </rPh>
    <rPh sb="8" eb="9">
      <t>カ</t>
    </rPh>
    <rPh sb="10" eb="12">
      <t>ホイク</t>
    </rPh>
    <phoneticPr fontId="1"/>
  </si>
  <si>
    <t>主幹保育教諭専任化（教育）</t>
    <rPh sb="0" eb="2">
      <t>シュカン</t>
    </rPh>
    <rPh sb="2" eb="4">
      <t>ホイク</t>
    </rPh>
    <rPh sb="4" eb="6">
      <t>キョウユ</t>
    </rPh>
    <rPh sb="6" eb="8">
      <t>センニン</t>
    </rPh>
    <rPh sb="8" eb="9">
      <t>カ</t>
    </rPh>
    <rPh sb="10" eb="12">
      <t>キョウイク</t>
    </rPh>
    <phoneticPr fontId="1"/>
  </si>
  <si>
    <t>①</t>
    <phoneticPr fontId="1"/>
  </si>
  <si>
    <t>調理員</t>
    <rPh sb="0" eb="3">
      <t>チョウリイン</t>
    </rPh>
    <phoneticPr fontId="1"/>
  </si>
  <si>
    <t>正職</t>
    <rPh sb="0" eb="2">
      <t>セイショク</t>
    </rPh>
    <phoneticPr fontId="1"/>
  </si>
  <si>
    <t>臨職</t>
    <rPh sb="0" eb="2">
      <t>リンショク</t>
    </rPh>
    <phoneticPr fontId="1"/>
  </si>
  <si>
    <t>区分</t>
    <rPh sb="0" eb="2">
      <t>クブン</t>
    </rPh>
    <phoneticPr fontId="1"/>
  </si>
  <si>
    <t>総計</t>
    <rPh sb="0" eb="2">
      <t>ソウケイ</t>
    </rPh>
    <phoneticPr fontId="1"/>
  </si>
  <si>
    <t>減算</t>
    <rPh sb="0" eb="2">
      <t>ゲンサン</t>
    </rPh>
    <phoneticPr fontId="1"/>
  </si>
  <si>
    <t>２級地</t>
    <rPh sb="1" eb="2">
      <t>キュウ</t>
    </rPh>
    <rPh sb="2" eb="3">
      <t>チ</t>
    </rPh>
    <phoneticPr fontId="1"/>
  </si>
  <si>
    <t>変更項目</t>
    <rPh sb="0" eb="2">
      <t>ヘンコウ</t>
    </rPh>
    <rPh sb="2" eb="4">
      <t>コウモク</t>
    </rPh>
    <phoneticPr fontId="1"/>
  </si>
  <si>
    <t>初期</t>
    <rPh sb="0" eb="2">
      <t>ショキ</t>
    </rPh>
    <phoneticPr fontId="1"/>
  </si>
  <si>
    <t>副食</t>
    <rPh sb="0" eb="2">
      <t>フクショク</t>
    </rPh>
    <phoneticPr fontId="1"/>
  </si>
  <si>
    <t>施設C</t>
    <rPh sb="0" eb="2">
      <t>シセツ</t>
    </rPh>
    <phoneticPr fontId="3"/>
  </si>
  <si>
    <t>公私</t>
    <rPh sb="0" eb="2">
      <t>コウシ</t>
    </rPh>
    <phoneticPr fontId="3"/>
  </si>
  <si>
    <t>種別</t>
    <rPh sb="0" eb="1">
      <t>シュ</t>
    </rPh>
    <rPh sb="1" eb="2">
      <t>ベツ</t>
    </rPh>
    <phoneticPr fontId="3"/>
  </si>
  <si>
    <t>区</t>
    <rPh sb="0" eb="1">
      <t>ク</t>
    </rPh>
    <phoneticPr fontId="3"/>
  </si>
  <si>
    <t>施設・事業所名</t>
    <rPh sb="0" eb="2">
      <t>シセツ</t>
    </rPh>
    <rPh sb="3" eb="5">
      <t>ジギョウ</t>
    </rPh>
    <rPh sb="5" eb="6">
      <t>ショ</t>
    </rPh>
    <rPh sb="6" eb="7">
      <t>メイ</t>
    </rPh>
    <phoneticPr fontId="3"/>
  </si>
  <si>
    <t>認定こども園認可定員内訳</t>
    <rPh sb="0" eb="2">
      <t>ニンテイ</t>
    </rPh>
    <rPh sb="5" eb="6">
      <t>エン</t>
    </rPh>
    <rPh sb="6" eb="8">
      <t>ニンカ</t>
    </rPh>
    <rPh sb="8" eb="10">
      <t>テイイン</t>
    </rPh>
    <rPh sb="10" eb="12">
      <t>ウチワケ</t>
    </rPh>
    <phoneticPr fontId="3"/>
  </si>
  <si>
    <t>認可定員</t>
    <phoneticPr fontId="3"/>
  </si>
  <si>
    <t>利用定員</t>
    <rPh sb="0" eb="2">
      <t>リヨウ</t>
    </rPh>
    <rPh sb="2" eb="4">
      <t>テイイン</t>
    </rPh>
    <phoneticPr fontId="3"/>
  </si>
  <si>
    <t>分園(内数)/従業員枠（外数）</t>
    <rPh sb="0" eb="2">
      <t>ブンエン</t>
    </rPh>
    <rPh sb="3" eb="5">
      <t>ウチスウ</t>
    </rPh>
    <rPh sb="7" eb="10">
      <t>ジュウギョウイン</t>
    </rPh>
    <rPh sb="10" eb="11">
      <t>ワク</t>
    </rPh>
    <rPh sb="12" eb="13">
      <t>ソト</t>
    </rPh>
    <rPh sb="13" eb="14">
      <t>スウ</t>
    </rPh>
    <phoneticPr fontId="3"/>
  </si>
  <si>
    <t>総計</t>
    <rPh sb="0" eb="2">
      <t>ソウケイ</t>
    </rPh>
    <phoneticPr fontId="3"/>
  </si>
  <si>
    <t>1号</t>
    <rPh sb="1" eb="2">
      <t>ゴウ</t>
    </rPh>
    <phoneticPr fontId="3"/>
  </si>
  <si>
    <t>2号</t>
    <rPh sb="1" eb="2">
      <t>ゴウ</t>
    </rPh>
    <phoneticPr fontId="3"/>
  </si>
  <si>
    <t>3号</t>
    <rPh sb="1" eb="2">
      <t>ゴウ</t>
    </rPh>
    <phoneticPr fontId="3"/>
  </si>
  <si>
    <t>3号（0歳）</t>
    <rPh sb="1" eb="2">
      <t>ゴウ</t>
    </rPh>
    <rPh sb="4" eb="5">
      <t>サイ</t>
    </rPh>
    <phoneticPr fontId="3"/>
  </si>
  <si>
    <t>3号（1･2歳）</t>
    <rPh sb="1" eb="2">
      <t>ゴウ</t>
    </rPh>
    <rPh sb="6" eb="7">
      <t>サイ</t>
    </rPh>
    <phoneticPr fontId="3"/>
  </si>
  <si>
    <t>3号合計</t>
    <rPh sb="1" eb="2">
      <t>ゴウ</t>
    </rPh>
    <rPh sb="2" eb="4">
      <t>ゴウケイ</t>
    </rPh>
    <phoneticPr fontId="3"/>
  </si>
  <si>
    <t>（うち２号）</t>
    <rPh sb="4" eb="5">
      <t>ゴウ</t>
    </rPh>
    <phoneticPr fontId="3"/>
  </si>
  <si>
    <t>列4</t>
  </si>
  <si>
    <t>列5</t>
  </si>
  <si>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</si>
  <si>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</si>
  <si>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</si>
  <si>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</si>
  <si>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</si>
  <si>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</si>
  <si>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</si>
  <si>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</si>
  <si>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</si>
  <si>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</si>
  <si>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</si>
  <si>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</si>
  <si>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</si>
  <si>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01私立</t>
  </si>
  <si>
    <t>中央区</t>
  </si>
  <si>
    <t>認定こども園カトリック聖園こどもの家</t>
  </si>
  <si>
    <t>認定こども園マミーポッケ</t>
  </si>
  <si>
    <t>北区</t>
  </si>
  <si>
    <t>こども園ソレイユ</t>
  </si>
  <si>
    <t>認定こども園太陽こころ幼稚園</t>
  </si>
  <si>
    <t>認定こども園こうほく</t>
  </si>
  <si>
    <t>認定こども園ひまわり</t>
  </si>
  <si>
    <t>認定こども園英伸幼稚学院</t>
  </si>
  <si>
    <t>東区</t>
  </si>
  <si>
    <t>認定こども園札幌愛珠</t>
  </si>
  <si>
    <t>認定こども園かすたねっと</t>
  </si>
  <si>
    <t>白石区</t>
  </si>
  <si>
    <t>東橋いちい認定こども園</t>
  </si>
  <si>
    <t>認定こども園幌東</t>
  </si>
  <si>
    <t>菊水いちい認定こども園</t>
  </si>
  <si>
    <t>厚別区</t>
  </si>
  <si>
    <t>認定こども園おおやち</t>
  </si>
  <si>
    <t>豊平区</t>
  </si>
  <si>
    <t>こども園・ひかりのこ　さっぽろ</t>
  </si>
  <si>
    <t>認定こども園まなび</t>
  </si>
  <si>
    <t>清田区</t>
  </si>
  <si>
    <t>南区</t>
  </si>
  <si>
    <t>認定こども園そらいろ</t>
  </si>
  <si>
    <t>西区</t>
  </si>
  <si>
    <t>認定こども園かがやき</t>
  </si>
  <si>
    <t>発寒にこりんこども園</t>
  </si>
  <si>
    <t>認定こども園森のタータン保育園宮の沢</t>
  </si>
  <si>
    <t>手稲区</t>
  </si>
  <si>
    <t>集計</t>
  </si>
  <si>
    <t>12</t>
  </si>
  <si>
    <t>申請月</t>
    <rPh sb="0" eb="2">
      <t>シンセイ</t>
    </rPh>
    <rPh sb="2" eb="3">
      <t>ツキ</t>
    </rPh>
    <phoneticPr fontId="1"/>
  </si>
  <si>
    <t>所在区</t>
    <rPh sb="0" eb="2">
      <t>ショザイ</t>
    </rPh>
    <rPh sb="2" eb="3">
      <t>ク</t>
    </rPh>
    <phoneticPr fontId="1"/>
  </si>
  <si>
    <t>清田区</t>
    <rPh sb="0" eb="3">
      <t>キヨタク</t>
    </rPh>
    <phoneticPr fontId="1"/>
  </si>
  <si>
    <t>種別</t>
    <rPh sb="0" eb="2">
      <t>シュベツ</t>
    </rPh>
    <phoneticPr fontId="1"/>
  </si>
  <si>
    <t>中央区</t>
    <rPh sb="0" eb="3">
      <t>チュウオウク</t>
    </rPh>
    <phoneticPr fontId="1"/>
  </si>
  <si>
    <t>北区</t>
    <rPh sb="0" eb="2">
      <t>キタク</t>
    </rPh>
    <phoneticPr fontId="1"/>
  </si>
  <si>
    <t>東区</t>
    <rPh sb="0" eb="2">
      <t>ヒガシク</t>
    </rPh>
    <phoneticPr fontId="1"/>
  </si>
  <si>
    <t>白石区</t>
    <rPh sb="0" eb="3">
      <t>シロイシク</t>
    </rPh>
    <phoneticPr fontId="1"/>
  </si>
  <si>
    <t>厚別区</t>
    <rPh sb="0" eb="3">
      <t>アツベツク</t>
    </rPh>
    <phoneticPr fontId="1"/>
  </si>
  <si>
    <t>豊平区</t>
    <rPh sb="0" eb="3">
      <t>トヨヒラク</t>
    </rPh>
    <phoneticPr fontId="1"/>
  </si>
  <si>
    <t>南区</t>
    <rPh sb="0" eb="2">
      <t>ミナミク</t>
    </rPh>
    <phoneticPr fontId="1"/>
  </si>
  <si>
    <t>西区</t>
    <rPh sb="0" eb="2">
      <t>ニシク</t>
    </rPh>
    <phoneticPr fontId="1"/>
  </si>
  <si>
    <t>手稲区</t>
    <rPh sb="0" eb="3">
      <t>テイネク</t>
    </rPh>
    <phoneticPr fontId="1"/>
  </si>
  <si>
    <t>施設種別</t>
    <rPh sb="0" eb="2">
      <t>シセツ</t>
    </rPh>
    <rPh sb="2" eb="4">
      <t>シュベツ</t>
    </rPh>
    <phoneticPr fontId="1"/>
  </si>
  <si>
    <t>申請</t>
    <rPh sb="0" eb="2">
      <t>シンセイ</t>
    </rPh>
    <phoneticPr fontId="1"/>
  </si>
  <si>
    <t>申請する</t>
    <rPh sb="0" eb="2">
      <t>シンセイ</t>
    </rPh>
    <phoneticPr fontId="1"/>
  </si>
  <si>
    <t>申請しない</t>
    <rPh sb="0" eb="2">
      <t>シンセイ</t>
    </rPh>
    <phoneticPr fontId="1"/>
  </si>
  <si>
    <t>副食</t>
    <rPh sb="0" eb="2">
      <t>フクショク</t>
    </rPh>
    <phoneticPr fontId="1"/>
  </si>
  <si>
    <t>×</t>
    <phoneticPr fontId="1"/>
  </si>
  <si>
    <t>日付</t>
    <rPh sb="0" eb="2">
      <t>ヒヅケ</t>
    </rPh>
    <phoneticPr fontId="1"/>
  </si>
  <si>
    <t>Ver.</t>
    <phoneticPr fontId="1"/>
  </si>
  <si>
    <t>No.</t>
    <phoneticPr fontId="1"/>
  </si>
  <si>
    <t>加算適用開始(変更)月</t>
    <rPh sb="0" eb="2">
      <t>カサン</t>
    </rPh>
    <rPh sb="2" eb="4">
      <t>テキヨウ</t>
    </rPh>
    <rPh sb="4" eb="6">
      <t>カイシ</t>
    </rPh>
    <rPh sb="7" eb="9">
      <t>ヘンコウ</t>
    </rPh>
    <rPh sb="10" eb="11">
      <t>ツキ</t>
    </rPh>
    <phoneticPr fontId="1"/>
  </si>
  <si>
    <t>基本配置職員</t>
    <rPh sb="0" eb="2">
      <t>キホン</t>
    </rPh>
    <rPh sb="2" eb="4">
      <t>ハイチ</t>
    </rPh>
    <rPh sb="4" eb="6">
      <t>ショクイン</t>
    </rPh>
    <phoneticPr fontId="1"/>
  </si>
  <si>
    <t>適否判定</t>
    <rPh sb="0" eb="2">
      <t>テキヒ</t>
    </rPh>
    <rPh sb="2" eb="4">
      <t>ハンテイ</t>
    </rPh>
    <phoneticPr fontId="1"/>
  </si>
  <si>
    <t>↓加算適用を開始(変更)した月を入力してください。</t>
    <rPh sb="1" eb="3">
      <t>カサン</t>
    </rPh>
    <rPh sb="3" eb="5">
      <t>テキヨウ</t>
    </rPh>
    <rPh sb="6" eb="8">
      <t>カイシ</t>
    </rPh>
    <rPh sb="9" eb="11">
      <t>ヘンコウ</t>
    </rPh>
    <rPh sb="14" eb="15">
      <t>ツキ</t>
    </rPh>
    <rPh sb="16" eb="18">
      <t>ニュウリョク</t>
    </rPh>
    <phoneticPr fontId="1"/>
  </si>
  <si>
    <t>１号</t>
    <rPh sb="1" eb="2">
      <t>ゴウ</t>
    </rPh>
    <phoneticPr fontId="1"/>
  </si>
  <si>
    <t>札幌市では認めておりません</t>
    <rPh sb="0" eb="2">
      <t>サッポロ</t>
    </rPh>
    <rPh sb="2" eb="3">
      <t>シ</t>
    </rPh>
    <rPh sb="5" eb="6">
      <t>ミト</t>
    </rPh>
    <phoneticPr fontId="1"/>
  </si>
  <si>
    <t>札幌市では想定しておりません</t>
    <rPh sb="0" eb="2">
      <t>サッポロ</t>
    </rPh>
    <rPh sb="2" eb="3">
      <t>シ</t>
    </rPh>
    <rPh sb="5" eb="7">
      <t>ソウテイ</t>
    </rPh>
    <phoneticPr fontId="1"/>
  </si>
  <si>
    <t>札幌市は対象外</t>
    <rPh sb="0" eb="2">
      <t>サッポロ</t>
    </rPh>
    <rPh sb="2" eb="3">
      <t>シ</t>
    </rPh>
    <rPh sb="4" eb="7">
      <t>タイショウガイ</t>
    </rPh>
    <phoneticPr fontId="1"/>
  </si>
  <si>
    <t>札幌市は対象外です</t>
    <rPh sb="0" eb="3">
      <t>サッポロシ</t>
    </rPh>
    <rPh sb="4" eb="7">
      <t>タイショウガイ</t>
    </rPh>
    <phoneticPr fontId="1"/>
  </si>
  <si>
    <t>副食費徴収免除加算(１号)</t>
    <rPh sb="0" eb="3">
      <t>フクショクヒ</t>
    </rPh>
    <rPh sb="3" eb="5">
      <t>チョウシュウ</t>
    </rPh>
    <rPh sb="5" eb="7">
      <t>メンジョ</t>
    </rPh>
    <rPh sb="7" eb="9">
      <t>カサン</t>
    </rPh>
    <rPh sb="11" eb="12">
      <t>ゴウ</t>
    </rPh>
    <phoneticPr fontId="1"/>
  </si>
  <si>
    <t>副食費徴収免除加算(２号)</t>
    <rPh sb="0" eb="3">
      <t>フクショクヒ</t>
    </rPh>
    <rPh sb="3" eb="5">
      <t>チョウシュウ</t>
    </rPh>
    <rPh sb="5" eb="7">
      <t>メンジョ</t>
    </rPh>
    <rPh sb="7" eb="9">
      <t>カサン</t>
    </rPh>
    <rPh sb="11" eb="12">
      <t>ゴウ</t>
    </rPh>
    <phoneticPr fontId="1"/>
  </si>
  <si>
    <t>全施設適用</t>
    <rPh sb="0" eb="1">
      <t>ゼン</t>
    </rPh>
    <rPh sb="1" eb="3">
      <t>シセツ</t>
    </rPh>
    <rPh sb="3" eb="5">
      <t>テキヨウ</t>
    </rPh>
    <phoneticPr fontId="1"/>
  </si>
  <si>
    <t>・「該当の有無」について、該当する場合は「○」を選択すること。</t>
    <rPh sb="2" eb="4">
      <t>ガイトウ</t>
    </rPh>
    <rPh sb="5" eb="7">
      <t>ウム</t>
    </rPh>
    <phoneticPr fontId="1"/>
  </si>
  <si>
    <t>・「申請の有無」で申請するを選択し、加算要件等を全て満たしたうえで、添付書類を漏れなく添付した場合にのみ加算する。</t>
    <rPh sb="2" eb="4">
      <t>シンセイ</t>
    </rPh>
    <rPh sb="5" eb="7">
      <t>ウム</t>
    </rPh>
    <rPh sb="9" eb="11">
      <t>シンセイ</t>
    </rPh>
    <rPh sb="14" eb="16">
      <t>センタク</t>
    </rPh>
    <rPh sb="18" eb="20">
      <t>カサン</t>
    </rPh>
    <rPh sb="20" eb="22">
      <t>ヨウケン</t>
    </rPh>
    <rPh sb="22" eb="23">
      <t>トウ</t>
    </rPh>
    <rPh sb="24" eb="25">
      <t>スベ</t>
    </rPh>
    <rPh sb="34" eb="36">
      <t>テンプ</t>
    </rPh>
    <rPh sb="36" eb="38">
      <t>ショルイ</t>
    </rPh>
    <rPh sb="39" eb="40">
      <t>モ</t>
    </rPh>
    <rPh sb="43" eb="45">
      <t>テンプ</t>
    </rPh>
    <rPh sb="47" eb="49">
      <t>バアイ</t>
    </rPh>
    <rPh sb="52" eb="54">
      <t>カサン</t>
    </rPh>
    <phoneticPr fontId="1"/>
  </si>
  <si>
    <t>0　基本配置職員</t>
    <rPh sb="2" eb="4">
      <t>キホン</t>
    </rPh>
    <rPh sb="4" eb="6">
      <t>ハイチ</t>
    </rPh>
    <rPh sb="6" eb="8">
      <t>ショクイン</t>
    </rPh>
    <phoneticPr fontId="1"/>
  </si>
  <si>
    <t>（判定）</t>
    <rPh sb="1" eb="3">
      <t>ハンテイ</t>
    </rPh>
    <phoneticPr fontId="1"/>
  </si>
  <si>
    <t>該当の有無</t>
    <rPh sb="0" eb="2">
      <t>ガイトウ</t>
    </rPh>
    <rPh sb="3" eb="5">
      <t>ウム</t>
    </rPh>
    <phoneticPr fontId="1"/>
  </si>
  <si>
    <t>①</t>
    <phoneticPr fontId="1"/>
  </si>
  <si>
    <t>①</t>
    <phoneticPr fontId="1"/>
  </si>
  <si>
    <t>②</t>
    <phoneticPr fontId="1"/>
  </si>
  <si>
    <t>②</t>
    <phoneticPr fontId="1"/>
  </si>
  <si>
    <t>③</t>
    <phoneticPr fontId="1"/>
  </si>
  <si>
    <t>業務委託している</t>
    <rPh sb="0" eb="2">
      <t>ギョウム</t>
    </rPh>
    <rPh sb="2" eb="4">
      <t>イタク</t>
    </rPh>
    <phoneticPr fontId="1"/>
  </si>
  <si>
    <t>直接雇用による配置</t>
    <rPh sb="0" eb="2">
      <t>チョクセツ</t>
    </rPh>
    <rPh sb="2" eb="4">
      <t>コヨウ</t>
    </rPh>
    <rPh sb="7" eb="9">
      <t>ハイチ</t>
    </rPh>
    <phoneticPr fontId="1"/>
  </si>
  <si>
    <t>嘱託による配置</t>
    <rPh sb="0" eb="2">
      <t>ショクタク</t>
    </rPh>
    <rPh sb="5" eb="7">
      <t>ハイチ</t>
    </rPh>
    <phoneticPr fontId="1"/>
  </si>
  <si>
    <t>全部を業務委託又は搬入施設からの食事の搬入をしている</t>
    <rPh sb="0" eb="2">
      <t>ゼンブ</t>
    </rPh>
    <rPh sb="3" eb="5">
      <t>ギョウム</t>
    </rPh>
    <rPh sb="5" eb="7">
      <t>イタク</t>
    </rPh>
    <rPh sb="7" eb="8">
      <t>マタ</t>
    </rPh>
    <rPh sb="9" eb="11">
      <t>ハンニュウ</t>
    </rPh>
    <rPh sb="11" eb="13">
      <t>シセツ</t>
    </rPh>
    <rPh sb="16" eb="18">
      <t>ショクジ</t>
    </rPh>
    <rPh sb="19" eb="21">
      <t>ハンニュウ</t>
    </rPh>
    <phoneticPr fontId="1"/>
  </si>
  <si>
    <t>※</t>
    <phoneticPr fontId="1"/>
  </si>
  <si>
    <t>園長を配置している</t>
    <rPh sb="0" eb="2">
      <t>エンチョウ</t>
    </rPh>
    <rPh sb="3" eb="5">
      <t>ハイチ</t>
    </rPh>
    <phoneticPr fontId="1"/>
  </si>
  <si>
    <t>他の学園の園長との兼務していない。
（兼務している⇒×／兼務していない⇒○）</t>
    <rPh sb="0" eb="1">
      <t>タ</t>
    </rPh>
    <rPh sb="2" eb="4">
      <t>ガクエン</t>
    </rPh>
    <rPh sb="5" eb="7">
      <t>エンチョウ</t>
    </rPh>
    <rPh sb="9" eb="11">
      <t>ケンム</t>
    </rPh>
    <rPh sb="19" eb="21">
      <t>ケンム</t>
    </rPh>
    <rPh sb="28" eb="30">
      <t>ケンム</t>
    </rPh>
    <phoneticPr fontId="1"/>
  </si>
  <si>
    <t>【×】を選択した場合＞＞
　当該園の園長職について、本務（専従）である。</t>
    <rPh sb="4" eb="6">
      <t>センタク</t>
    </rPh>
    <rPh sb="8" eb="10">
      <t>バアイ</t>
    </rPh>
    <rPh sb="14" eb="16">
      <t>トウガイ</t>
    </rPh>
    <rPh sb="16" eb="17">
      <t>エン</t>
    </rPh>
    <rPh sb="18" eb="20">
      <t>エンチョウ</t>
    </rPh>
    <rPh sb="20" eb="21">
      <t>ショク</t>
    </rPh>
    <rPh sb="26" eb="28">
      <t>ホンム</t>
    </rPh>
    <rPh sb="29" eb="31">
      <t>センジュウ</t>
    </rPh>
    <phoneticPr fontId="1"/>
  </si>
  <si>
    <t>副園長又は教頭は当該施設に常時勤務する者であること</t>
    <rPh sb="0" eb="3">
      <t>フクエンチョウ</t>
    </rPh>
    <rPh sb="3" eb="4">
      <t>マタ</t>
    </rPh>
    <rPh sb="5" eb="7">
      <t>キョウトウ</t>
    </rPh>
    <rPh sb="8" eb="10">
      <t>トウガイ</t>
    </rPh>
    <phoneticPr fontId="1"/>
  </si>
  <si>
    <t>1号認定子ども及び2号認定子どもに係る利用定員が36人以上300人以下である</t>
    <phoneticPr fontId="1"/>
  </si>
  <si>
    <t>加算要件
（１～２の要件全てに該当する場合に加算）</t>
    <rPh sb="0" eb="2">
      <t>カサン</t>
    </rPh>
    <rPh sb="2" eb="4">
      <t>ヨウケン</t>
    </rPh>
    <phoneticPr fontId="1"/>
  </si>
  <si>
    <t>利用定員：</t>
    <rPh sb="0" eb="2">
      <t>リヨウ</t>
    </rPh>
    <rPh sb="2" eb="4">
      <t>テイイン</t>
    </rPh>
    <phoneticPr fontId="1"/>
  </si>
  <si>
    <t>①</t>
    <phoneticPr fontId="1"/>
  </si>
  <si>
    <t>②</t>
    <phoneticPr fontId="1"/>
  </si>
  <si>
    <t>②　幼稚園教諭免許状の写し</t>
    <rPh sb="2" eb="5">
      <t>ヨウチエン</t>
    </rPh>
    <rPh sb="5" eb="7">
      <t>キョウユ</t>
    </rPh>
    <rPh sb="7" eb="9">
      <t>メンキョ</t>
    </rPh>
    <rPh sb="9" eb="10">
      <t>ジョウ</t>
    </rPh>
    <rPh sb="11" eb="12">
      <t>ウツ</t>
    </rPh>
    <phoneticPr fontId="1"/>
  </si>
  <si>
    <t>申請人数</t>
    <rPh sb="0" eb="2">
      <t>シンセイ</t>
    </rPh>
    <rPh sb="2" eb="4">
      <t>ニンズウ</t>
    </rPh>
    <phoneticPr fontId="1"/>
  </si>
  <si>
    <t>※　副食の提供状況については保護者への意向聴取等により施設（事業所）が把握している各月初日における副食の提供状況による。また、施設（事業所）の都合によらず副食の一部または全部の提供を要しない利用子どもについては副食の全てを提供しているのものみなす。</t>
    <rPh sb="2" eb="4">
      <t>フクショク</t>
    </rPh>
    <rPh sb="5" eb="7">
      <t>テイキョウ</t>
    </rPh>
    <rPh sb="7" eb="9">
      <t>ジョウキョウ</t>
    </rPh>
    <rPh sb="14" eb="17">
      <t>ホゴシャ</t>
    </rPh>
    <rPh sb="19" eb="21">
      <t>イコウ</t>
    </rPh>
    <rPh sb="21" eb="23">
      <t>チョウシュ</t>
    </rPh>
    <rPh sb="23" eb="24">
      <t>トウ</t>
    </rPh>
    <rPh sb="27" eb="29">
      <t>シセツ</t>
    </rPh>
    <rPh sb="30" eb="32">
      <t>ジギョウ</t>
    </rPh>
    <rPh sb="32" eb="33">
      <t>ショ</t>
    </rPh>
    <rPh sb="35" eb="37">
      <t>ハアク</t>
    </rPh>
    <rPh sb="41" eb="43">
      <t>カクツキ</t>
    </rPh>
    <rPh sb="43" eb="45">
      <t>ショニチ</t>
    </rPh>
    <rPh sb="49" eb="51">
      <t>フクショク</t>
    </rPh>
    <rPh sb="52" eb="54">
      <t>テイキョウ</t>
    </rPh>
    <rPh sb="54" eb="56">
      <t>ジョウキョウ</t>
    </rPh>
    <rPh sb="63" eb="65">
      <t>シセツ</t>
    </rPh>
    <rPh sb="66" eb="68">
      <t>ジギョウ</t>
    </rPh>
    <rPh sb="68" eb="69">
      <t>ショ</t>
    </rPh>
    <rPh sb="71" eb="73">
      <t>ツゴウ</t>
    </rPh>
    <rPh sb="77" eb="79">
      <t>フクショク</t>
    </rPh>
    <rPh sb="80" eb="82">
      <t>イチブ</t>
    </rPh>
    <rPh sb="85" eb="87">
      <t>ゼンブ</t>
    </rPh>
    <rPh sb="88" eb="90">
      <t>テイキョウ</t>
    </rPh>
    <rPh sb="91" eb="92">
      <t>ヨウ</t>
    </rPh>
    <rPh sb="95" eb="97">
      <t>リヨウ</t>
    </rPh>
    <rPh sb="97" eb="98">
      <t>コ</t>
    </rPh>
    <rPh sb="105" eb="107">
      <t>フクショク</t>
    </rPh>
    <rPh sb="108" eb="109">
      <t>スベ</t>
    </rPh>
    <rPh sb="111" eb="113">
      <t>テイキョウ</t>
    </rPh>
    <phoneticPr fontId="1"/>
  </si>
  <si>
    <t>休日等を含めて年間を通じて開所している</t>
    <rPh sb="0" eb="2">
      <t>キュウジツ</t>
    </rPh>
    <rPh sb="2" eb="3">
      <t>トウ</t>
    </rPh>
    <rPh sb="4" eb="5">
      <t>フク</t>
    </rPh>
    <rPh sb="7" eb="9">
      <t>ネンカン</t>
    </rPh>
    <rPh sb="10" eb="11">
      <t>ツウ</t>
    </rPh>
    <rPh sb="13" eb="15">
      <t>カイショ</t>
    </rPh>
    <phoneticPr fontId="1"/>
  </si>
  <si>
    <t>時間</t>
    <rPh sb="0" eb="2">
      <t>ジカン</t>
    </rPh>
    <phoneticPr fontId="1"/>
  </si>
  <si>
    <t>人数</t>
    <rPh sb="0" eb="2">
      <t>ニンズウ</t>
    </rPh>
    <phoneticPr fontId="1"/>
  </si>
  <si>
    <t>利用児童数表</t>
    <rPh sb="0" eb="2">
      <t>リヨウ</t>
    </rPh>
    <rPh sb="2" eb="4">
      <t>ジドウ</t>
    </rPh>
    <rPh sb="4" eb="5">
      <t>スウ</t>
    </rPh>
    <rPh sb="5" eb="6">
      <t>ヒョウ</t>
    </rPh>
    <phoneticPr fontId="1"/>
  </si>
  <si>
    <t>加算要件
(１～４の要件全てに該当する場合に加算)</t>
    <rPh sb="0" eb="2">
      <t>カサン</t>
    </rPh>
    <rPh sb="2" eb="4">
      <t>ヨウケン</t>
    </rPh>
    <rPh sb="11" eb="13">
      <t>ヨウケン</t>
    </rPh>
    <rPh sb="13" eb="14">
      <t>スベ</t>
    </rPh>
    <rPh sb="16" eb="18">
      <t>ガイトウ</t>
    </rPh>
    <rPh sb="20" eb="22">
      <t>バアイ</t>
    </rPh>
    <rPh sb="23" eb="25">
      <t>カサン</t>
    </rPh>
    <phoneticPr fontId="1"/>
  </si>
  <si>
    <t>①</t>
    <phoneticPr fontId="1"/>
  </si>
  <si>
    <t>　老朽化等を理由として改修等が必要であったと市町村が認めている</t>
    <phoneticPr fontId="1"/>
  </si>
  <si>
    <t>②</t>
    <phoneticPr fontId="1"/>
  </si>
  <si>
    <t>③</t>
    <phoneticPr fontId="1"/>
  </si>
  <si>
    <t>賃借料加算の対象となっていない
(減価償却費加算と賃借料加算は同時に受けられません)</t>
    <rPh sb="0" eb="3">
      <t>チンシャクリョウ</t>
    </rPh>
    <rPh sb="3" eb="5">
      <t>カサン</t>
    </rPh>
    <rPh sb="6" eb="8">
      <t>タイショウ</t>
    </rPh>
    <rPh sb="17" eb="19">
      <t>ゲンカ</t>
    </rPh>
    <rPh sb="19" eb="21">
      <t>ショウキャク</t>
    </rPh>
    <rPh sb="21" eb="22">
      <t>ヒ</t>
    </rPh>
    <rPh sb="22" eb="24">
      <t>カサン</t>
    </rPh>
    <rPh sb="25" eb="28">
      <t>チンシャクリョウ</t>
    </rPh>
    <rPh sb="28" eb="30">
      <t>カサン</t>
    </rPh>
    <rPh sb="31" eb="33">
      <t>ドウジ</t>
    </rPh>
    <rPh sb="34" eb="35">
      <t>ウ</t>
    </rPh>
    <phoneticPr fontId="1"/>
  </si>
  <si>
    <t>加算要件
（１～４の要件全てに該当している場合に加算）</t>
    <rPh sb="0" eb="2">
      <t>カサン</t>
    </rPh>
    <rPh sb="2" eb="4">
      <t>ヨウケン</t>
    </rPh>
    <phoneticPr fontId="1"/>
  </si>
  <si>
    <t>月初日時点で障がい児を受け入れている</t>
    <rPh sb="0" eb="1">
      <t>ツキ</t>
    </rPh>
    <rPh sb="1" eb="3">
      <t>ショニチ</t>
    </rPh>
    <rPh sb="3" eb="5">
      <t>ジテン</t>
    </rPh>
    <rPh sb="6" eb="7">
      <t>ショウ</t>
    </rPh>
    <rPh sb="9" eb="10">
      <t>ジ</t>
    </rPh>
    <rPh sb="11" eb="12">
      <t>ウ</t>
    </rPh>
    <rPh sb="13" eb="14">
      <t>イ</t>
    </rPh>
    <phoneticPr fontId="1"/>
  </si>
  <si>
    <t>②</t>
    <phoneticPr fontId="1"/>
  </si>
  <si>
    <t>それ以外の障がい児</t>
    <rPh sb="2" eb="4">
      <t>イガイ</t>
    </rPh>
    <rPh sb="5" eb="6">
      <t>ショウ</t>
    </rPh>
    <rPh sb="8" eb="9">
      <t>ジ</t>
    </rPh>
    <phoneticPr fontId="1"/>
  </si>
  <si>
    <t>主幹保育教諭等の専任化により子育て支援の取り組みを実施していない場合の減算を受けていない</t>
    <rPh sb="0" eb="2">
      <t>シュカン</t>
    </rPh>
    <rPh sb="2" eb="4">
      <t>ホイク</t>
    </rPh>
    <rPh sb="4" eb="6">
      <t>キョウユ</t>
    </rPh>
    <rPh sb="6" eb="7">
      <t>トウ</t>
    </rPh>
    <rPh sb="8" eb="10">
      <t>センニン</t>
    </rPh>
    <rPh sb="10" eb="11">
      <t>カ</t>
    </rPh>
    <rPh sb="14" eb="16">
      <t>コソダ</t>
    </rPh>
    <rPh sb="17" eb="19">
      <t>シエン</t>
    </rPh>
    <rPh sb="20" eb="21">
      <t>ト</t>
    </rPh>
    <rPh sb="22" eb="23">
      <t>ク</t>
    </rPh>
    <rPh sb="25" eb="27">
      <t>ジッシ</t>
    </rPh>
    <rPh sb="32" eb="34">
      <t>バアイ</t>
    </rPh>
    <rPh sb="35" eb="37">
      <t>ゲンサン</t>
    </rPh>
    <rPh sb="38" eb="39">
      <t>ウ</t>
    </rPh>
    <phoneticPr fontId="1"/>
  </si>
  <si>
    <t>施設型給付認定開始年月</t>
    <rPh sb="0" eb="3">
      <t>シセツガタ</t>
    </rPh>
    <rPh sb="3" eb="5">
      <t>キュウフ</t>
    </rPh>
    <rPh sb="5" eb="7">
      <t>ニンテイ</t>
    </rPh>
    <rPh sb="7" eb="9">
      <t>カイシ</t>
    </rPh>
    <rPh sb="9" eb="11">
      <t>ネンゲツ</t>
    </rPh>
    <phoneticPr fontId="1"/>
  </si>
  <si>
    <t>月</t>
    <rPh sb="0" eb="1">
      <t>ガツ</t>
    </rPh>
    <phoneticPr fontId="1"/>
  </si>
  <si>
    <t>※　西暦で入力すること</t>
    <rPh sb="2" eb="4">
      <t>セイレキ</t>
    </rPh>
    <rPh sb="5" eb="7">
      <t>ニュウリョク</t>
    </rPh>
    <phoneticPr fontId="1"/>
  </si>
  <si>
    <t>↓判定が○となった場合のみ</t>
    <rPh sb="1" eb="3">
      <t>ハンテイ</t>
    </rPh>
    <rPh sb="9" eb="11">
      <t>バアイ</t>
    </rPh>
    <phoneticPr fontId="1"/>
  </si>
  <si>
    <t>減算解除要件</t>
    <rPh sb="0" eb="2">
      <t>ゲンサン</t>
    </rPh>
    <rPh sb="2" eb="4">
      <t>カイジョ</t>
    </rPh>
    <rPh sb="4" eb="6">
      <t>ヨウケン</t>
    </rPh>
    <phoneticPr fontId="1"/>
  </si>
  <si>
    <t>加算要件
（１～２の要件全てに該当している場合に加算）</t>
    <rPh sb="0" eb="2">
      <t>カサン</t>
    </rPh>
    <rPh sb="2" eb="4">
      <t>ヨウケン</t>
    </rPh>
    <phoneticPr fontId="1"/>
  </si>
  <si>
    <t>施設長等の職員が兼務する場合又は業務委託する場合</t>
    <rPh sb="0" eb="2">
      <t>シセツ</t>
    </rPh>
    <rPh sb="2" eb="3">
      <t>チョウ</t>
    </rPh>
    <rPh sb="3" eb="4">
      <t>トウ</t>
    </rPh>
    <rPh sb="5" eb="7">
      <t>ショクイン</t>
    </rPh>
    <rPh sb="8" eb="10">
      <t>ケンム</t>
    </rPh>
    <rPh sb="12" eb="14">
      <t>バアイ</t>
    </rPh>
    <rPh sb="14" eb="15">
      <t>マタ</t>
    </rPh>
    <rPh sb="16" eb="18">
      <t>ギョウム</t>
    </rPh>
    <rPh sb="18" eb="20">
      <t>イタク</t>
    </rPh>
    <rPh sb="22" eb="24">
      <t>バアイ</t>
    </rPh>
    <phoneticPr fontId="1"/>
  </si>
  <si>
    <t>基本分単価において求められる事務職員を配置している場合</t>
    <rPh sb="0" eb="2">
      <t>キホン</t>
    </rPh>
    <rPh sb="2" eb="3">
      <t>ブン</t>
    </rPh>
    <rPh sb="3" eb="5">
      <t>タンカ</t>
    </rPh>
    <rPh sb="9" eb="10">
      <t>モト</t>
    </rPh>
    <rPh sb="14" eb="16">
      <t>ジム</t>
    </rPh>
    <rPh sb="16" eb="18">
      <t>ショクイン</t>
    </rPh>
    <rPh sb="19" eb="21">
      <t>ハイチ</t>
    </rPh>
    <rPh sb="25" eb="27">
      <t>バアイ</t>
    </rPh>
    <phoneticPr fontId="1"/>
  </si>
  <si>
    <t>１号及び２号利用定員271人以上の施設が対象である</t>
    <rPh sb="1" eb="2">
      <t>ゴウ</t>
    </rPh>
    <rPh sb="2" eb="3">
      <t>オヨ</t>
    </rPh>
    <rPh sb="5" eb="6">
      <t>ゴウ</t>
    </rPh>
    <rPh sb="6" eb="8">
      <t>リヨウ</t>
    </rPh>
    <rPh sb="8" eb="10">
      <t>テイイン</t>
    </rPh>
    <rPh sb="13" eb="16">
      <t>ニンイジョウ</t>
    </rPh>
    <rPh sb="17" eb="19">
      <t>シセツ</t>
    </rPh>
    <rPh sb="20" eb="22">
      <t>タイショウ</t>
    </rPh>
    <phoneticPr fontId="1"/>
  </si>
  <si>
    <t>加算要件
（１～３の要件全てに該当している場合に加算）</t>
    <rPh sb="0" eb="2">
      <t>カサン</t>
    </rPh>
    <rPh sb="2" eb="4">
      <t>ヨウケン</t>
    </rPh>
    <phoneticPr fontId="1"/>
  </si>
  <si>
    <t>本務・兼務</t>
    <rPh sb="0" eb="2">
      <t>ホンム</t>
    </rPh>
    <rPh sb="3" eb="5">
      <t>ケンム</t>
    </rPh>
    <phoneticPr fontId="1"/>
  </si>
  <si>
    <t>本務</t>
    <rPh sb="0" eb="2">
      <t>ホンム</t>
    </rPh>
    <phoneticPr fontId="1"/>
  </si>
  <si>
    <t>基本情報</t>
    <rPh sb="0" eb="2">
      <t>キホン</t>
    </rPh>
    <rPh sb="2" eb="4">
      <t>ジョウホウ</t>
    </rPh>
    <phoneticPr fontId="1"/>
  </si>
  <si>
    <t>入力欄</t>
    <rPh sb="0" eb="2">
      <t>ニュウリョク</t>
    </rPh>
    <rPh sb="2" eb="3">
      <t>ラン</t>
    </rPh>
    <phoneticPr fontId="1"/>
  </si>
  <si>
    <t>兼務</t>
    <rPh sb="0" eb="2">
      <t>ケンム</t>
    </rPh>
    <phoneticPr fontId="1"/>
  </si>
  <si>
    <t>生年月日</t>
    <rPh sb="0" eb="2">
      <t>セイネン</t>
    </rPh>
    <rPh sb="2" eb="4">
      <t>ガッピ</t>
    </rPh>
    <phoneticPr fontId="1"/>
  </si>
  <si>
    <t>年齢</t>
    <rPh sb="0" eb="2">
      <t>ネンレイ</t>
    </rPh>
    <phoneticPr fontId="1"/>
  </si>
  <si>
    <t>住所</t>
    <rPh sb="0" eb="2">
      <t>ジュウショ</t>
    </rPh>
    <phoneticPr fontId="1"/>
  </si>
  <si>
    <t>学歴</t>
    <rPh sb="0" eb="2">
      <t>ガクレキ</t>
    </rPh>
    <phoneticPr fontId="1"/>
  </si>
  <si>
    <t>学校名と入学・中退・卒業等を記載</t>
    <rPh sb="0" eb="2">
      <t>ガッコウ</t>
    </rPh>
    <rPh sb="2" eb="3">
      <t>メイ</t>
    </rPh>
    <rPh sb="4" eb="5">
      <t>ニュウ</t>
    </rPh>
    <rPh sb="5" eb="6">
      <t>ガク</t>
    </rPh>
    <rPh sb="7" eb="9">
      <t>チュウタイ</t>
    </rPh>
    <rPh sb="10" eb="11">
      <t>ソツ</t>
    </rPh>
    <rPh sb="11" eb="12">
      <t>ギョウ</t>
    </rPh>
    <rPh sb="12" eb="13">
      <t>トウ</t>
    </rPh>
    <rPh sb="14" eb="16">
      <t>キサイ</t>
    </rPh>
    <phoneticPr fontId="1"/>
  </si>
  <si>
    <t>職歴</t>
    <rPh sb="0" eb="2">
      <t>ショクレキ</t>
    </rPh>
    <phoneticPr fontId="1"/>
  </si>
  <si>
    <t>会社名と経歴等を記載</t>
    <rPh sb="0" eb="3">
      <t>カイシャメイ</t>
    </rPh>
    <rPh sb="3" eb="4">
      <t>ガクメイ</t>
    </rPh>
    <rPh sb="4" eb="6">
      <t>ケイレキ</t>
    </rPh>
    <rPh sb="6" eb="7">
      <t>トウ</t>
    </rPh>
    <rPh sb="8" eb="10">
      <t>キサイ</t>
    </rPh>
    <phoneticPr fontId="1"/>
  </si>
  <si>
    <t>資格</t>
    <rPh sb="0" eb="2">
      <t>シカク</t>
    </rPh>
    <phoneticPr fontId="1"/>
  </si>
  <si>
    <t>資格名等を記載</t>
    <rPh sb="0" eb="2">
      <t>シカク</t>
    </rPh>
    <rPh sb="2" eb="3">
      <t>メイ</t>
    </rPh>
    <rPh sb="3" eb="4">
      <t>トウ</t>
    </rPh>
    <rPh sb="5" eb="7">
      <t>キサイ</t>
    </rPh>
    <phoneticPr fontId="1"/>
  </si>
  <si>
    <t>２　同一又は系列園での施設長の重複確認</t>
    <rPh sb="2" eb="4">
      <t>ドウイツ</t>
    </rPh>
    <rPh sb="4" eb="5">
      <t>マタ</t>
    </rPh>
    <rPh sb="6" eb="8">
      <t>ケイレツ</t>
    </rPh>
    <rPh sb="8" eb="9">
      <t>エン</t>
    </rPh>
    <rPh sb="11" eb="14">
      <t>シセツチョウ</t>
    </rPh>
    <rPh sb="15" eb="17">
      <t>チョウフク</t>
    </rPh>
    <rPh sb="17" eb="19">
      <t>カクニン</t>
    </rPh>
    <phoneticPr fontId="1"/>
  </si>
  <si>
    <t>No.</t>
    <phoneticPr fontId="1"/>
  </si>
  <si>
    <t>No.</t>
    <phoneticPr fontId="1"/>
  </si>
  <si>
    <t>事務</t>
    <rPh sb="0" eb="2">
      <t>ジム</t>
    </rPh>
    <phoneticPr fontId="1"/>
  </si>
  <si>
    <t>調理</t>
    <rPh sb="0" eb="2">
      <t>チョウリ</t>
    </rPh>
    <phoneticPr fontId="1"/>
  </si>
  <si>
    <t>事務員</t>
    <rPh sb="0" eb="2">
      <t>ジム</t>
    </rPh>
    <rPh sb="2" eb="3">
      <t>イン</t>
    </rPh>
    <phoneticPr fontId="1"/>
  </si>
  <si>
    <t>幼稚園教諭免許＆保育士資格</t>
    <rPh sb="0" eb="3">
      <t>ヨウチエン</t>
    </rPh>
    <rPh sb="3" eb="5">
      <t>キョウユ</t>
    </rPh>
    <rPh sb="5" eb="7">
      <t>メンキョ</t>
    </rPh>
    <rPh sb="8" eb="11">
      <t>ホイクシ</t>
    </rPh>
    <rPh sb="11" eb="13">
      <t>シカク</t>
    </rPh>
    <phoneticPr fontId="1"/>
  </si>
  <si>
    <t>幼稚園教諭免許</t>
    <rPh sb="0" eb="3">
      <t>ヨウチエン</t>
    </rPh>
    <rPh sb="3" eb="5">
      <t>キョウユ</t>
    </rPh>
    <rPh sb="5" eb="7">
      <t>メンキョ</t>
    </rPh>
    <phoneticPr fontId="1"/>
  </si>
  <si>
    <t>保育士資格</t>
    <rPh sb="0" eb="2">
      <t>ホイク</t>
    </rPh>
    <rPh sb="2" eb="3">
      <t>シ</t>
    </rPh>
    <rPh sb="3" eb="5">
      <t>シカク</t>
    </rPh>
    <phoneticPr fontId="1"/>
  </si>
  <si>
    <t>札幌市確認</t>
    <rPh sb="0" eb="3">
      <t>サッポロシ</t>
    </rPh>
    <rPh sb="3" eb="5">
      <t>カクニン</t>
    </rPh>
    <phoneticPr fontId="1"/>
  </si>
  <si>
    <t>※　学級担任は常勤専任である必要があります。</t>
    <rPh sb="2" eb="4">
      <t>ガッキュウ</t>
    </rPh>
    <rPh sb="4" eb="6">
      <t>タンニン</t>
    </rPh>
    <rPh sb="7" eb="9">
      <t>ジョウキン</t>
    </rPh>
    <rPh sb="9" eb="11">
      <t>センニン</t>
    </rPh>
    <rPh sb="14" eb="16">
      <t>ヒツヨウ</t>
    </rPh>
    <phoneticPr fontId="1"/>
  </si>
  <si>
    <t>判定（取得数）</t>
    <rPh sb="0" eb="2">
      <t>ハンテイ</t>
    </rPh>
    <rPh sb="3" eb="5">
      <t>シュトク</t>
    </rPh>
    <rPh sb="5" eb="6">
      <t>スウ</t>
    </rPh>
    <phoneticPr fontId="1"/>
  </si>
  <si>
    <t>下記の事業のうち２つ以上を実施している</t>
    <phoneticPr fontId="1"/>
  </si>
  <si>
    <t>人</t>
    <rPh sb="0" eb="1">
      <t>ニン</t>
    </rPh>
    <phoneticPr fontId="1"/>
  </si>
  <si>
    <t>初日利用児童のうち満3歳児が1人以上となった最初の月</t>
    <rPh sb="0" eb="2">
      <t>ショニチ</t>
    </rPh>
    <rPh sb="2" eb="4">
      <t>リヨウ</t>
    </rPh>
    <rPh sb="4" eb="6">
      <t>ジドウ</t>
    </rPh>
    <rPh sb="9" eb="10">
      <t>マン</t>
    </rPh>
    <rPh sb="11" eb="12">
      <t>サイ</t>
    </rPh>
    <rPh sb="12" eb="13">
      <t>ジ</t>
    </rPh>
    <rPh sb="15" eb="18">
      <t>ニンイジョウ</t>
    </rPh>
    <rPh sb="22" eb="24">
      <t>サイショ</t>
    </rPh>
    <rPh sb="25" eb="26">
      <t>ツキ</t>
    </rPh>
    <phoneticPr fontId="1"/>
  </si>
  <si>
    <t>月初日において障がい児が1人以上利用となった最初の月</t>
    <rPh sb="0" eb="1">
      <t>ツキ</t>
    </rPh>
    <rPh sb="1" eb="3">
      <t>ショニチ</t>
    </rPh>
    <rPh sb="7" eb="8">
      <t>ショウ</t>
    </rPh>
    <rPh sb="10" eb="11">
      <t>ジ</t>
    </rPh>
    <rPh sb="13" eb="16">
      <t>ニンイジョウ</t>
    </rPh>
    <rPh sb="16" eb="18">
      <t>リヨウ</t>
    </rPh>
    <rPh sb="22" eb="24">
      <t>サイショ</t>
    </rPh>
    <rPh sb="25" eb="26">
      <t>ツキ</t>
    </rPh>
    <phoneticPr fontId="1"/>
  </si>
  <si>
    <t>配置要件
（1～4の全てを配置すること。また、5については主幹教諭配置が必要な人数を表示します。）</t>
    <rPh sb="0" eb="2">
      <t>ハイチ</t>
    </rPh>
    <rPh sb="2" eb="4">
      <t>ヨウケン</t>
    </rPh>
    <rPh sb="10" eb="11">
      <t>スベ</t>
    </rPh>
    <rPh sb="13" eb="15">
      <t>ハイチ</t>
    </rPh>
    <rPh sb="29" eb="31">
      <t>シュカン</t>
    </rPh>
    <rPh sb="31" eb="33">
      <t>キョウユ</t>
    </rPh>
    <rPh sb="33" eb="35">
      <t>ハイチ</t>
    </rPh>
    <rPh sb="36" eb="38">
      <t>ヒツヨウ</t>
    </rPh>
    <rPh sb="39" eb="41">
      <t>ニンズウ</t>
    </rPh>
    <rPh sb="42" eb="44">
      <t>ヒョウジ</t>
    </rPh>
    <phoneticPr fontId="1"/>
  </si>
  <si>
    <t>①</t>
    <phoneticPr fontId="1"/>
  </si>
  <si>
    <t>主幹保育教諭代替職員の必要配置人数</t>
    <rPh sb="0" eb="2">
      <t>シュカン</t>
    </rPh>
    <rPh sb="2" eb="4">
      <t>ホイク</t>
    </rPh>
    <rPh sb="4" eb="6">
      <t>キョウユ</t>
    </rPh>
    <rPh sb="6" eb="8">
      <t>ダイタイ</t>
    </rPh>
    <rPh sb="8" eb="10">
      <t>ショクイン</t>
    </rPh>
    <rPh sb="11" eb="13">
      <t>ヒツヨウ</t>
    </rPh>
    <rPh sb="13" eb="15">
      <t>ハイチ</t>
    </rPh>
    <rPh sb="15" eb="17">
      <t>ニンズウ</t>
    </rPh>
    <phoneticPr fontId="1"/>
  </si>
  <si>
    <t>1号分</t>
    <rPh sb="1" eb="2">
      <t>ゴウ</t>
    </rPh>
    <rPh sb="2" eb="3">
      <t>ブン</t>
    </rPh>
    <phoneticPr fontId="1"/>
  </si>
  <si>
    <t>2・3号分</t>
    <rPh sb="3" eb="4">
      <t>ゴウ</t>
    </rPh>
    <rPh sb="4" eb="5">
      <t>ブン</t>
    </rPh>
    <phoneticPr fontId="1"/>
  </si>
  <si>
    <t>ア</t>
    <phoneticPr fontId="1"/>
  </si>
  <si>
    <t>イ</t>
    <phoneticPr fontId="1"/>
  </si>
  <si>
    <t>配置状況</t>
    <rPh sb="0" eb="2">
      <t>ハイチ</t>
    </rPh>
    <rPh sb="2" eb="4">
      <t>ジョウキョウ</t>
    </rPh>
    <phoneticPr fontId="1"/>
  </si>
  <si>
    <t xml:space="preserve"> 　加算要件
（１～５の要件全てに該当する場合に加算）</t>
    <rPh sb="2" eb="4">
      <t>カサン</t>
    </rPh>
    <rPh sb="4" eb="6">
      <t>ヨウケン</t>
    </rPh>
    <phoneticPr fontId="1"/>
  </si>
  <si>
    <t>常勤・非常勤</t>
    <rPh sb="0" eb="2">
      <t>ジョウキン</t>
    </rPh>
    <rPh sb="3" eb="6">
      <t>ヒジョウキン</t>
    </rPh>
    <phoneticPr fontId="1"/>
  </si>
  <si>
    <t>※1　複数選ぶとエラーとなります</t>
    <rPh sb="3" eb="5">
      <t>フクスウ</t>
    </rPh>
    <rPh sb="5" eb="6">
      <t>エラ</t>
    </rPh>
    <phoneticPr fontId="1"/>
  </si>
  <si>
    <t>園長及び副園長(教頭)を配置している</t>
    <rPh sb="0" eb="2">
      <t>エンチョウ</t>
    </rPh>
    <rPh sb="2" eb="3">
      <t>オヨ</t>
    </rPh>
    <rPh sb="4" eb="7">
      <t>フクエンチョウ</t>
    </rPh>
    <rPh sb="8" eb="10">
      <t>キョウトウ</t>
    </rPh>
    <rPh sb="12" eb="14">
      <t>ハイチ</t>
    </rPh>
    <phoneticPr fontId="1"/>
  </si>
  <si>
    <t>加算要件
（１～４の要件全てに該当する場合に加算）</t>
    <rPh sb="0" eb="2">
      <t>カサン</t>
    </rPh>
    <rPh sb="2" eb="4">
      <t>ヨウケン</t>
    </rPh>
    <phoneticPr fontId="1"/>
  </si>
  <si>
    <t>給食実施加算（１号）</t>
    <rPh sb="0" eb="2">
      <t>キュウショク</t>
    </rPh>
    <rPh sb="2" eb="4">
      <t>ジッシ</t>
    </rPh>
    <rPh sb="4" eb="6">
      <t>カサン</t>
    </rPh>
    <rPh sb="8" eb="9">
      <t>ゴウ</t>
    </rPh>
    <phoneticPr fontId="1"/>
  </si>
  <si>
    <t>地域の子育て支援活動等に取り組んでいる</t>
    <rPh sb="0" eb="2">
      <t>チイキ</t>
    </rPh>
    <rPh sb="3" eb="5">
      <t>コソダ</t>
    </rPh>
    <rPh sb="6" eb="8">
      <t>シエン</t>
    </rPh>
    <rPh sb="8" eb="10">
      <t>カツドウ</t>
    </rPh>
    <rPh sb="10" eb="11">
      <t>トウ</t>
    </rPh>
    <rPh sb="12" eb="13">
      <t>ト</t>
    </rPh>
    <rPh sb="14" eb="15">
      <t>ク</t>
    </rPh>
    <phoneticPr fontId="1"/>
  </si>
  <si>
    <t>延長保育事業を実施している（短時間のみ可）</t>
    <rPh sb="0" eb="2">
      <t>エンチョウ</t>
    </rPh>
    <rPh sb="2" eb="4">
      <t>ホイク</t>
    </rPh>
    <rPh sb="4" eb="6">
      <t>ジギョウ</t>
    </rPh>
    <rPh sb="7" eb="9">
      <t>ジッシ</t>
    </rPh>
    <rPh sb="14" eb="17">
      <t>タンジカン</t>
    </rPh>
    <rPh sb="19" eb="20">
      <t>カ</t>
    </rPh>
    <phoneticPr fontId="1"/>
  </si>
  <si>
    <t>①</t>
    <phoneticPr fontId="1"/>
  </si>
  <si>
    <t>月</t>
    <rPh sb="0" eb="1">
      <t>ツキ</t>
    </rPh>
    <phoneticPr fontId="1"/>
  </si>
  <si>
    <t>換算月</t>
    <rPh sb="0" eb="2">
      <t>カンサン</t>
    </rPh>
    <rPh sb="2" eb="3">
      <t>ツキ</t>
    </rPh>
    <phoneticPr fontId="1"/>
  </si>
  <si>
    <t>４月：</t>
    <rPh sb="1" eb="2">
      <t>ガツ</t>
    </rPh>
    <phoneticPr fontId="1"/>
  </si>
  <si>
    <t>５月：</t>
    <rPh sb="1" eb="2">
      <t>ガツ</t>
    </rPh>
    <phoneticPr fontId="1"/>
  </si>
  <si>
    <t>６月：</t>
    <rPh sb="1" eb="2">
      <t>ガツ</t>
    </rPh>
    <phoneticPr fontId="1"/>
  </si>
  <si>
    <t>７月：</t>
    <rPh sb="1" eb="2">
      <t>ガツ</t>
    </rPh>
    <phoneticPr fontId="1"/>
  </si>
  <si>
    <t>対象</t>
    <rPh sb="0" eb="2">
      <t>タイショウ</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</si>
  <si>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</si>
  <si>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</si>
  <si>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</si>
  <si>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</si>
  <si>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</si>
  <si>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</si>
  <si>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</si>
  <si>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</si>
  <si>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②</t>
    <phoneticPr fontId="1"/>
  </si>
  <si>
    <t>③</t>
    <phoneticPr fontId="1"/>
  </si>
  <si>
    <t>当月</t>
    <rPh sb="0" eb="2">
      <t>トウゲツ</t>
    </rPh>
    <phoneticPr fontId="1"/>
  </si>
  <si>
    <t>対象月</t>
    <rPh sb="0" eb="2">
      <t>タイショウ</t>
    </rPh>
    <rPh sb="2" eb="3">
      <t>ツキ</t>
    </rPh>
    <phoneticPr fontId="1"/>
  </si>
  <si>
    <t>初日利用児童のうち障がい児が1人以上利用となった最初の月</t>
    <rPh sb="0" eb="2">
      <t>ショニチ</t>
    </rPh>
    <rPh sb="2" eb="4">
      <t>リヨウ</t>
    </rPh>
    <rPh sb="4" eb="6">
      <t>ジドウ</t>
    </rPh>
    <rPh sb="9" eb="10">
      <t>ショウ</t>
    </rPh>
    <rPh sb="12" eb="13">
      <t>ジ</t>
    </rPh>
    <rPh sb="15" eb="18">
      <t>ニンイジョウ</t>
    </rPh>
    <rPh sb="18" eb="20">
      <t>リヨウ</t>
    </rPh>
    <rPh sb="24" eb="26">
      <t>サイショ</t>
    </rPh>
    <rPh sb="27" eb="28">
      <t>ツキ</t>
    </rPh>
    <phoneticPr fontId="1"/>
  </si>
  <si>
    <t>④</t>
    <phoneticPr fontId="1"/>
  </si>
  <si>
    <t>イ</t>
    <phoneticPr fontId="1"/>
  </si>
  <si>
    <t>年度内最初開始月</t>
    <rPh sb="0" eb="3">
      <t>ネンドナイ</t>
    </rPh>
    <rPh sb="3" eb="5">
      <t>サイショ</t>
    </rPh>
    <rPh sb="5" eb="7">
      <t>カイシ</t>
    </rPh>
    <rPh sb="7" eb="8">
      <t>ツキ</t>
    </rPh>
    <phoneticPr fontId="1"/>
  </si>
  <si>
    <t>×</t>
    <phoneticPr fontId="1"/>
  </si>
  <si>
    <t>初日利用児童のうち乳児が3人以上となった最初の月</t>
    <rPh sb="0" eb="2">
      <t>ショニチ</t>
    </rPh>
    <rPh sb="2" eb="4">
      <t>リヨウ</t>
    </rPh>
    <rPh sb="4" eb="6">
      <t>ジドウ</t>
    </rPh>
    <rPh sb="9" eb="11">
      <t>ニュウジ</t>
    </rPh>
    <rPh sb="13" eb="16">
      <t>ニンイジョウ</t>
    </rPh>
    <rPh sb="20" eb="22">
      <t>サイショ</t>
    </rPh>
    <rPh sb="23" eb="24">
      <t>ツキ</t>
    </rPh>
    <phoneticPr fontId="1"/>
  </si>
  <si>
    <t>○</t>
    <phoneticPr fontId="1"/>
  </si>
  <si>
    <t>全ての施設に適用されます。</t>
    <rPh sb="0" eb="1">
      <t>スベ</t>
    </rPh>
    <rPh sb="3" eb="5">
      <t>シセツ</t>
    </rPh>
    <rPh sb="6" eb="8">
      <t>テキヨウ</t>
    </rPh>
    <phoneticPr fontId="1"/>
  </si>
  <si>
    <t>※　利用定員は必要に応じて上書きすること(青色セル)。</t>
    <rPh sb="2" eb="4">
      <t>リヨウ</t>
    </rPh>
    <rPh sb="4" eb="6">
      <t>テイイン</t>
    </rPh>
    <rPh sb="7" eb="9">
      <t>ヒツヨウ</t>
    </rPh>
    <rPh sb="10" eb="11">
      <t>オウ</t>
    </rPh>
    <rPh sb="13" eb="15">
      <t>ウワガ</t>
    </rPh>
    <rPh sb="21" eb="23">
      <t>アオイロ</t>
    </rPh>
    <phoneticPr fontId="1"/>
  </si>
  <si>
    <t>減算要件
（１～２の要件全てに該当する場合に減算）</t>
    <rPh sb="0" eb="2">
      <t>ゲンサン</t>
    </rPh>
    <rPh sb="2" eb="4">
      <t>ヨウケン</t>
    </rPh>
    <rPh sb="22" eb="24">
      <t>ゲンサン</t>
    </rPh>
    <phoneticPr fontId="1"/>
  </si>
  <si>
    <t>※　利用定員は必要に応じて上書きすること(青色セル)。</t>
    <phoneticPr fontId="1"/>
  </si>
  <si>
    <t>→　事務兼務の施設長等（業務委託の場合は不要)及び非常勤事務（専従）の計２（業務委託の場合は１）名を配置している</t>
    <rPh sb="2" eb="4">
      <t>ジム</t>
    </rPh>
    <rPh sb="4" eb="6">
      <t>ケンム</t>
    </rPh>
    <rPh sb="7" eb="10">
      <t>シセツチョウ</t>
    </rPh>
    <rPh sb="10" eb="11">
      <t>トウ</t>
    </rPh>
    <rPh sb="12" eb="14">
      <t>ギョウム</t>
    </rPh>
    <rPh sb="14" eb="16">
      <t>イタク</t>
    </rPh>
    <rPh sb="17" eb="19">
      <t>バアイ</t>
    </rPh>
    <rPh sb="20" eb="22">
      <t>フヨウ</t>
    </rPh>
    <rPh sb="23" eb="24">
      <t>オヨ</t>
    </rPh>
    <rPh sb="25" eb="28">
      <t>ヒジョウキン</t>
    </rPh>
    <rPh sb="28" eb="30">
      <t>ジム</t>
    </rPh>
    <rPh sb="31" eb="33">
      <t>センジュウ</t>
    </rPh>
    <rPh sb="35" eb="36">
      <t>ケイ</t>
    </rPh>
    <rPh sb="38" eb="40">
      <t>ギョウム</t>
    </rPh>
    <rPh sb="40" eb="42">
      <t>イタク</t>
    </rPh>
    <rPh sb="43" eb="45">
      <t>バアイ</t>
    </rPh>
    <rPh sb="48" eb="49">
      <t>メイ</t>
    </rPh>
    <rPh sb="50" eb="52">
      <t>ハイチ</t>
    </rPh>
    <phoneticPr fontId="1"/>
  </si>
  <si>
    <t>経過措置</t>
    <rPh sb="0" eb="2">
      <t>ケイカ</t>
    </rPh>
    <rPh sb="2" eb="4">
      <t>ソチ</t>
    </rPh>
    <phoneticPr fontId="1"/>
  </si>
  <si>
    <t>有</t>
  </si>
  <si>
    <t>認定こども園全体の利用定員91人以上である</t>
    <rPh sb="0" eb="2">
      <t>ニンテイ</t>
    </rPh>
    <rPh sb="5" eb="6">
      <t>エン</t>
    </rPh>
    <rPh sb="6" eb="8">
      <t>ゼンタイ</t>
    </rPh>
    <rPh sb="9" eb="11">
      <t>リヨウ</t>
    </rPh>
    <rPh sb="11" eb="13">
      <t>テイイン</t>
    </rPh>
    <rPh sb="15" eb="16">
      <t>ニン</t>
    </rPh>
    <rPh sb="16" eb="18">
      <t>イジョウ</t>
    </rPh>
    <phoneticPr fontId="1"/>
  </si>
  <si>
    <t>３月のみ加算</t>
    <rPh sb="1" eb="2">
      <t>ガツ</t>
    </rPh>
    <rPh sb="4" eb="6">
      <t>カサン</t>
    </rPh>
    <phoneticPr fontId="1"/>
  </si>
  <si>
    <t>d地域－都市部</t>
    <rPh sb="1" eb="3">
      <t>チイキ</t>
    </rPh>
    <rPh sb="4" eb="7">
      <t>トシブ</t>
    </rPh>
    <phoneticPr fontId="1"/>
  </si>
  <si>
    <t>→１号と２・３号に1/2ずつ按分</t>
    <rPh sb="2" eb="3">
      <t>ゴウ</t>
    </rPh>
    <rPh sb="7" eb="8">
      <t>ゴウ</t>
    </rPh>
    <rPh sb="14" eb="16">
      <t>アンブン</t>
    </rPh>
    <phoneticPr fontId="1"/>
  </si>
  <si>
    <t>人数</t>
    <rPh sb="0" eb="2">
      <t>ニンズウ</t>
    </rPh>
    <phoneticPr fontId="1"/>
  </si>
  <si>
    <t>※１　年度当初から事業を開始する場合は５月において当該要件を満たしていることをもって４月から当該要件を満たしているものと取り扱う</t>
    <phoneticPr fontId="1"/>
  </si>
  <si>
    <t>※　減算適用の有無にかかわらず下記を記載すること</t>
    <phoneticPr fontId="1"/>
  </si>
  <si>
    <t>※　減算適用の有無にかかわらず下記を記載すること</t>
    <phoneticPr fontId="1"/>
  </si>
  <si>
    <t>職種区分</t>
    <rPh sb="0" eb="2">
      <t>ショクシュ</t>
    </rPh>
    <rPh sb="2" eb="4">
      <t>クブン</t>
    </rPh>
    <phoneticPr fontId="1"/>
  </si>
  <si>
    <t>【祝日情報】</t>
    <rPh sb="1" eb="3">
      <t>シュクジツ</t>
    </rPh>
    <rPh sb="3" eb="5">
      <t>ジョウホウ</t>
    </rPh>
    <phoneticPr fontId="3"/>
  </si>
  <si>
    <r>
      <t>当該シートに祝日を入力すると、利用状況表で対応する日が「</t>
    </r>
    <r>
      <rPr>
        <sz val="12"/>
        <color rgb="FFFF0000"/>
        <rFont val="ＭＳ Ｐゴシック"/>
        <family val="3"/>
        <charset val="128"/>
      </rPr>
      <t>赤表示</t>
    </r>
    <r>
      <rPr>
        <sz val="12"/>
        <rFont val="ＭＳ Ｐゴシック"/>
        <family val="3"/>
        <charset val="128"/>
      </rPr>
      <t>」になります。</t>
    </r>
    <rPh sb="0" eb="2">
      <t>トウガイ</t>
    </rPh>
    <rPh sb="6" eb="8">
      <t>シュクジツ</t>
    </rPh>
    <rPh sb="9" eb="11">
      <t>ニュウリョク</t>
    </rPh>
    <rPh sb="15" eb="17">
      <t>リヨウ</t>
    </rPh>
    <rPh sb="17" eb="19">
      <t>ジョウキョウ</t>
    </rPh>
    <rPh sb="19" eb="20">
      <t>ヒョウ</t>
    </rPh>
    <rPh sb="21" eb="23">
      <t>タイオウ</t>
    </rPh>
    <rPh sb="25" eb="26">
      <t>ヒ</t>
    </rPh>
    <rPh sb="28" eb="29">
      <t>アカ</t>
    </rPh>
    <rPh sb="29" eb="31">
      <t>ヒョウジ</t>
    </rPh>
    <phoneticPr fontId="3"/>
  </si>
  <si>
    <t>日付</t>
    <rPh sb="0" eb="2">
      <t>ヒヅケ</t>
    </rPh>
    <phoneticPr fontId="3"/>
  </si>
  <si>
    <t>祝日名</t>
    <rPh sb="0" eb="2">
      <t>シュクジツ</t>
    </rPh>
    <rPh sb="2" eb="3">
      <t>メイ</t>
    </rPh>
    <phoneticPr fontId="3"/>
  </si>
  <si>
    <t>元日</t>
  </si>
  <si>
    <t>成人の日</t>
  </si>
  <si>
    <t>建国記念の日</t>
  </si>
  <si>
    <t>春分の日</t>
  </si>
  <si>
    <t>天皇誕生日</t>
  </si>
  <si>
    <t>昭和の日</t>
  </si>
  <si>
    <t>憲法記念日</t>
  </si>
  <si>
    <t>みどりの日</t>
  </si>
  <si>
    <t>こどもの日</t>
  </si>
  <si>
    <t>海の日</t>
  </si>
  <si>
    <t>山の日</t>
  </si>
  <si>
    <t>敬老の日</t>
  </si>
  <si>
    <t>スポーツの日</t>
  </si>
  <si>
    <t>秋分の日</t>
  </si>
  <si>
    <t>文化の日</t>
  </si>
  <si>
    <t>勤労感謝の日</t>
  </si>
  <si>
    <t>【様式3】</t>
    <rPh sb="1" eb="3">
      <t>ヨウシキ</t>
    </rPh>
    <phoneticPr fontId="1"/>
  </si>
  <si>
    <t>年</t>
    <rPh sb="0" eb="1">
      <t>ネン</t>
    </rPh>
    <phoneticPr fontId="3"/>
  </si>
  <si>
    <t>月</t>
    <rPh sb="0" eb="1">
      <t>ガツ</t>
    </rPh>
    <phoneticPr fontId="3"/>
  </si>
  <si>
    <t>非常勤職員勤務シフト表</t>
    <rPh sb="0" eb="3">
      <t>ヒジョウキン</t>
    </rPh>
    <rPh sb="3" eb="5">
      <t>ショクイン</t>
    </rPh>
    <rPh sb="5" eb="7">
      <t>キンム</t>
    </rPh>
    <rPh sb="10" eb="11">
      <t>ヒョウ</t>
    </rPh>
    <phoneticPr fontId="3"/>
  </si>
  <si>
    <t>値</t>
    <rPh sb="0" eb="1">
      <t>アタイ</t>
    </rPh>
    <phoneticPr fontId="3"/>
  </si>
  <si>
    <t>時</t>
    <rPh sb="0" eb="1">
      <t>トキ</t>
    </rPh>
    <phoneticPr fontId="3"/>
  </si>
  <si>
    <t>時間</t>
    <rPh sb="0" eb="2">
      <t>ジカン</t>
    </rPh>
    <phoneticPr fontId="3"/>
  </si>
  <si>
    <t>月</t>
    <rPh sb="0" eb="1">
      <t>ツキ</t>
    </rPh>
    <phoneticPr fontId="3"/>
  </si>
  <si>
    <t>曜日</t>
    <rPh sb="0" eb="2">
      <t>ヨウビ</t>
    </rPh>
    <phoneticPr fontId="3"/>
  </si>
  <si>
    <t>（日）</t>
    <rPh sb="1" eb="2">
      <t>ニチ</t>
    </rPh>
    <phoneticPr fontId="3"/>
  </si>
  <si>
    <t>（月）</t>
    <rPh sb="1" eb="2">
      <t>ゲツ</t>
    </rPh>
    <phoneticPr fontId="3"/>
  </si>
  <si>
    <t>（火）</t>
    <rPh sb="1" eb="2">
      <t>ヒ</t>
    </rPh>
    <phoneticPr fontId="3"/>
  </si>
  <si>
    <t>（水）</t>
    <rPh sb="1" eb="2">
      <t>スイ</t>
    </rPh>
    <phoneticPr fontId="3"/>
  </si>
  <si>
    <t>（木）</t>
    <rPh sb="1" eb="2">
      <t>キ</t>
    </rPh>
    <phoneticPr fontId="3"/>
  </si>
  <si>
    <t>（金）</t>
    <rPh sb="1" eb="2">
      <t>キン</t>
    </rPh>
    <phoneticPr fontId="3"/>
  </si>
  <si>
    <t>（土）</t>
    <rPh sb="1" eb="2">
      <t>ド</t>
    </rPh>
    <phoneticPr fontId="3"/>
  </si>
  <si>
    <t>分</t>
    <rPh sb="0" eb="1">
      <t>フン</t>
    </rPh>
    <phoneticPr fontId="3"/>
  </si>
  <si>
    <t>氏名</t>
    <rPh sb="0" eb="2">
      <t>シメイ</t>
    </rPh>
    <phoneticPr fontId="3"/>
  </si>
  <si>
    <t>日にち</t>
    <rPh sb="0" eb="1">
      <t>ニチ</t>
    </rPh>
    <phoneticPr fontId="3"/>
  </si>
  <si>
    <t>曜日</t>
    <rPh sb="0" eb="1">
      <t>ヨウビ</t>
    </rPh>
    <rPh sb="1" eb="2">
      <t>ビ</t>
    </rPh>
    <phoneticPr fontId="3"/>
  </si>
  <si>
    <t>時間数</t>
    <rPh sb="0" eb="3">
      <t>ジカンスウ</t>
    </rPh>
    <phoneticPr fontId="3"/>
  </si>
  <si>
    <t>【様式6】</t>
    <rPh sb="1" eb="3">
      <t>ヨウシキ</t>
    </rPh>
    <phoneticPr fontId="1"/>
  </si>
  <si>
    <t>【様式5】</t>
    <rPh sb="1" eb="3">
      <t>ヨウシキ</t>
    </rPh>
    <phoneticPr fontId="1"/>
  </si>
  <si>
    <t>【様式4】</t>
    <rPh sb="1" eb="3">
      <t>ヨウシキ</t>
    </rPh>
    <phoneticPr fontId="1"/>
  </si>
  <si>
    <t>祝・休日</t>
    <rPh sb="0" eb="1">
      <t>シュク</t>
    </rPh>
    <rPh sb="2" eb="4">
      <t>キュウジツ</t>
    </rPh>
    <phoneticPr fontId="1"/>
  </si>
  <si>
    <t>毎月分提出する必要があります。</t>
    <rPh sb="0" eb="2">
      <t>マイツキ</t>
    </rPh>
    <rPh sb="2" eb="3">
      <t>ブン</t>
    </rPh>
    <rPh sb="3" eb="5">
      <t>テイシュツ</t>
    </rPh>
    <rPh sb="7" eb="9">
      <t>ヒツヨウ</t>
    </rPh>
    <phoneticPr fontId="1"/>
  </si>
  <si>
    <t>１　当該月の利用見込み</t>
    <rPh sb="2" eb="4">
      <t>トウガイ</t>
    </rPh>
    <rPh sb="4" eb="5">
      <t>ヅキ</t>
    </rPh>
    <rPh sb="6" eb="8">
      <t>リヨウ</t>
    </rPh>
    <rPh sb="8" eb="10">
      <t>ミコ</t>
    </rPh>
    <phoneticPr fontId="1"/>
  </si>
  <si>
    <t>土曜日</t>
    <rPh sb="0" eb="3">
      <t>ドヨウビ</t>
    </rPh>
    <phoneticPr fontId="1"/>
  </si>
  <si>
    <t>日にち</t>
    <rPh sb="0" eb="1">
      <t>ヒ</t>
    </rPh>
    <phoneticPr fontId="1"/>
  </si>
  <si>
    <t>平日/祝日</t>
    <rPh sb="0" eb="2">
      <t>ヘイジツ</t>
    </rPh>
    <rPh sb="3" eb="5">
      <t>シュクジツ</t>
    </rPh>
    <phoneticPr fontId="1"/>
  </si>
  <si>
    <t>利用児童数（見込）</t>
    <rPh sb="0" eb="2">
      <t>リヨウ</t>
    </rPh>
    <rPh sb="2" eb="4">
      <t>ジドウ</t>
    </rPh>
    <rPh sb="4" eb="5">
      <t>スウ</t>
    </rPh>
    <rPh sb="6" eb="8">
      <t>ミコミ</t>
    </rPh>
    <phoneticPr fontId="1"/>
  </si>
  <si>
    <t>土曜日</t>
    <rPh sb="0" eb="2">
      <t>ドヨウ</t>
    </rPh>
    <rPh sb="2" eb="3">
      <t>ビ</t>
    </rPh>
    <phoneticPr fontId="1"/>
  </si>
  <si>
    <t>土曜順</t>
    <rPh sb="0" eb="2">
      <t>ドヨウ</t>
    </rPh>
    <rPh sb="2" eb="3">
      <t>ジュン</t>
    </rPh>
    <phoneticPr fontId="1"/>
  </si>
  <si>
    <t>減算区分：</t>
    <rPh sb="0" eb="2">
      <t>ゲンサン</t>
    </rPh>
    <rPh sb="2" eb="4">
      <t>クブン</t>
    </rPh>
    <phoneticPr fontId="1"/>
  </si>
  <si>
    <t>2　前月の利用実績</t>
    <rPh sb="2" eb="4">
      <t>ゼンゲツ</t>
    </rPh>
    <rPh sb="5" eb="7">
      <t>リヨウ</t>
    </rPh>
    <rPh sb="7" eb="9">
      <t>ジッセキ</t>
    </rPh>
    <phoneticPr fontId="1"/>
  </si>
  <si>
    <t>減算(見込)</t>
    <rPh sb="0" eb="2">
      <t>ゲンサン</t>
    </rPh>
    <rPh sb="3" eb="5">
      <t>ミコミ</t>
    </rPh>
    <phoneticPr fontId="1"/>
  </si>
  <si>
    <t>利用児童数（実績）</t>
    <rPh sb="0" eb="2">
      <t>リヨウ</t>
    </rPh>
    <rPh sb="2" eb="4">
      <t>ジドウ</t>
    </rPh>
    <rPh sb="4" eb="5">
      <t>スウ</t>
    </rPh>
    <rPh sb="6" eb="8">
      <t>ジッセキ</t>
    </rPh>
    <phoneticPr fontId="1"/>
  </si>
  <si>
    <t>減算区分(見込)：</t>
    <rPh sb="0" eb="2">
      <t>ゲンサン</t>
    </rPh>
    <rPh sb="2" eb="4">
      <t>クブン</t>
    </rPh>
    <rPh sb="5" eb="7">
      <t>ミコミ</t>
    </rPh>
    <phoneticPr fontId="1"/>
  </si>
  <si>
    <t>減算区分(実績)：</t>
    <rPh sb="0" eb="2">
      <t>ゲンサン</t>
    </rPh>
    <rPh sb="2" eb="4">
      <t>クブン</t>
    </rPh>
    <rPh sb="5" eb="7">
      <t>ジッセキ</t>
    </rPh>
    <phoneticPr fontId="1"/>
  </si>
  <si>
    <t>高齢者等活躍促進加算</t>
    <rPh sb="8" eb="10">
      <t>カサン</t>
    </rPh>
    <phoneticPr fontId="1"/>
  </si>
  <si>
    <t>都市部</t>
    <rPh sb="0" eb="3">
      <t>トシブ</t>
    </rPh>
    <phoneticPr fontId="1"/>
  </si>
  <si>
    <t>様式2/様式5</t>
    <rPh sb="0" eb="2">
      <t>ヨウシキ</t>
    </rPh>
    <rPh sb="4" eb="6">
      <t>ヨウシキ</t>
    </rPh>
    <phoneticPr fontId="1"/>
  </si>
  <si>
    <t>配置</t>
    <rPh sb="0" eb="2">
      <t>ハイチ</t>
    </rPh>
    <phoneticPr fontId="1"/>
  </si>
  <si>
    <t>①　様式2</t>
    <phoneticPr fontId="1"/>
  </si>
  <si>
    <t>①で【×】を選択した場合＞＞
　園長が専任でない場合に加配する教員又は幼稚園設置基準第5条第3項に規定する教員を別に配置していること（様式5）</t>
    <rPh sb="6" eb="8">
      <t>センタク</t>
    </rPh>
    <rPh sb="10" eb="12">
      <t>バアイ</t>
    </rPh>
    <rPh sb="16" eb="18">
      <t>エンチョウ</t>
    </rPh>
    <rPh sb="19" eb="21">
      <t>センニン</t>
    </rPh>
    <rPh sb="24" eb="26">
      <t>バアイ</t>
    </rPh>
    <rPh sb="27" eb="29">
      <t>カハイ</t>
    </rPh>
    <rPh sb="31" eb="33">
      <t>キョウイン</t>
    </rPh>
    <rPh sb="33" eb="34">
      <t>マタ</t>
    </rPh>
    <rPh sb="56" eb="57">
      <t>ベツ</t>
    </rPh>
    <rPh sb="58" eb="60">
      <t>ハイチ</t>
    </rPh>
    <phoneticPr fontId="1"/>
  </si>
  <si>
    <t>職員配置を充足している（様式5）</t>
    <rPh sb="0" eb="2">
      <t>ショクイン</t>
    </rPh>
    <rPh sb="2" eb="4">
      <t>ハイチ</t>
    </rPh>
    <rPh sb="5" eb="7">
      <t>ジュウソク</t>
    </rPh>
    <phoneticPr fontId="1"/>
  </si>
  <si>
    <t>様式5</t>
    <phoneticPr fontId="1"/>
  </si>
  <si>
    <t>様式5</t>
    <phoneticPr fontId="1"/>
  </si>
  <si>
    <t>①　様式2、様式5</t>
    <phoneticPr fontId="1"/>
  </si>
  <si>
    <t>①　様式2/様式5</t>
    <rPh sb="6" eb="8">
      <t>ヨウシキ</t>
    </rPh>
    <phoneticPr fontId="1"/>
  </si>
  <si>
    <t>副担任等の学級担任以外の保育教諭等を配置、少人数の学級編成を行う等低年齢児を中心として小集団化したグループ教育を実施している（様式4）</t>
    <rPh sb="0" eb="3">
      <t>フクタンニン</t>
    </rPh>
    <rPh sb="3" eb="4">
      <t>トウ</t>
    </rPh>
    <rPh sb="5" eb="7">
      <t>ガッキュウ</t>
    </rPh>
    <rPh sb="7" eb="9">
      <t>タンニン</t>
    </rPh>
    <rPh sb="9" eb="11">
      <t>イガイ</t>
    </rPh>
    <rPh sb="12" eb="14">
      <t>ホイク</t>
    </rPh>
    <rPh sb="14" eb="16">
      <t>キョウユ</t>
    </rPh>
    <rPh sb="16" eb="17">
      <t>トウ</t>
    </rPh>
    <rPh sb="18" eb="20">
      <t>ハイチ</t>
    </rPh>
    <rPh sb="21" eb="24">
      <t>ショウニンズウ</t>
    </rPh>
    <rPh sb="25" eb="27">
      <t>ガッキュウ</t>
    </rPh>
    <rPh sb="27" eb="29">
      <t>ヘンセイ</t>
    </rPh>
    <rPh sb="30" eb="31">
      <t>オコナ</t>
    </rPh>
    <rPh sb="32" eb="33">
      <t>ナド</t>
    </rPh>
    <rPh sb="33" eb="36">
      <t>テイネンレイ</t>
    </rPh>
    <rPh sb="36" eb="37">
      <t>ジ</t>
    </rPh>
    <rPh sb="38" eb="40">
      <t>チュウシン</t>
    </rPh>
    <rPh sb="43" eb="47">
      <t>ショウシュウダンカ</t>
    </rPh>
    <rPh sb="53" eb="55">
      <t>キョウイク</t>
    </rPh>
    <rPh sb="56" eb="58">
      <t>ジッシ</t>
    </rPh>
    <rPh sb="63" eb="65">
      <t>ヨウシキ</t>
    </rPh>
    <phoneticPr fontId="1"/>
  </si>
  <si>
    <t>１　副園長・教頭の経歴</t>
    <rPh sb="2" eb="5">
      <t>フクエンチョウ</t>
    </rPh>
    <rPh sb="6" eb="8">
      <t>キョウトウ</t>
    </rPh>
    <rPh sb="9" eb="11">
      <t>ケイレキ</t>
    </rPh>
    <phoneticPr fontId="1"/>
  </si>
  <si>
    <r>
      <t>事務職員及び非常勤事務職員（①～③のうち</t>
    </r>
    <r>
      <rPr>
        <sz val="10"/>
        <color rgb="FFFF0000"/>
        <rFont val="ＭＳ 明朝"/>
        <family val="1"/>
        <charset val="128"/>
      </rPr>
      <t>一つを選択※１</t>
    </r>
    <r>
      <rPr>
        <sz val="10"/>
        <rFont val="ＭＳ 明朝"/>
        <family val="1"/>
        <charset val="128"/>
      </rPr>
      <t>）</t>
    </r>
    <rPh sb="0" eb="2">
      <t>ジム</t>
    </rPh>
    <rPh sb="2" eb="4">
      <t>ショクイン</t>
    </rPh>
    <rPh sb="4" eb="5">
      <t>オヨ</t>
    </rPh>
    <rPh sb="6" eb="9">
      <t>ヒジョウキン</t>
    </rPh>
    <rPh sb="9" eb="11">
      <t>ジム</t>
    </rPh>
    <rPh sb="11" eb="13">
      <t>ショクイン</t>
    </rPh>
    <rPh sb="20" eb="21">
      <t>ヒト</t>
    </rPh>
    <rPh sb="23" eb="25">
      <t>センタク</t>
    </rPh>
    <phoneticPr fontId="1"/>
  </si>
  <si>
    <r>
      <t>調理員（①～②のうち</t>
    </r>
    <r>
      <rPr>
        <sz val="10"/>
        <color rgb="FFFF0000"/>
        <rFont val="ＭＳ 明朝"/>
        <family val="1"/>
        <charset val="128"/>
      </rPr>
      <t>一つを選択※1</t>
    </r>
    <r>
      <rPr>
        <sz val="10"/>
        <rFont val="ＭＳ 明朝"/>
        <family val="1"/>
        <charset val="128"/>
      </rPr>
      <t>）</t>
    </r>
    <rPh sb="0" eb="3">
      <t>チョウリイン</t>
    </rPh>
    <rPh sb="10" eb="11">
      <t>ヒト</t>
    </rPh>
    <rPh sb="13" eb="15">
      <t>センタク</t>
    </rPh>
    <phoneticPr fontId="1"/>
  </si>
  <si>
    <r>
      <t>学校医、学校歯科医及び学校薬剤師（①～②のうち</t>
    </r>
    <r>
      <rPr>
        <sz val="10"/>
        <color rgb="FFFF0000"/>
        <rFont val="ＭＳ 明朝"/>
        <family val="1"/>
        <charset val="128"/>
      </rPr>
      <t>一つを選択※１</t>
    </r>
    <r>
      <rPr>
        <sz val="10"/>
        <rFont val="ＭＳ 明朝"/>
        <family val="1"/>
        <charset val="128"/>
      </rPr>
      <t>）</t>
    </r>
    <rPh sb="0" eb="2">
      <t>ガッコウ</t>
    </rPh>
    <rPh sb="2" eb="3">
      <t>イ</t>
    </rPh>
    <rPh sb="4" eb="6">
      <t>ガッコウ</t>
    </rPh>
    <rPh sb="6" eb="9">
      <t>シカイ</t>
    </rPh>
    <rPh sb="9" eb="10">
      <t>オヨ</t>
    </rPh>
    <rPh sb="11" eb="13">
      <t>ガッコウ</t>
    </rPh>
    <rPh sb="13" eb="16">
      <t>ヤクザイシ</t>
    </rPh>
    <rPh sb="23" eb="24">
      <t>ヒト</t>
    </rPh>
    <rPh sb="26" eb="28">
      <t>センタク</t>
    </rPh>
    <phoneticPr fontId="1"/>
  </si>
  <si>
    <t>就学前の子どもに関する教育、保育等の総合的な提供の推進に関する法律第14条又は学校教育法第27条に規定する
「副園長又は教頭の職務をつかさどっていること」</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3" eb="34">
      <t>ダイ</t>
    </rPh>
    <rPh sb="36" eb="37">
      <t>ジョウ</t>
    </rPh>
    <rPh sb="37" eb="38">
      <t>マタ</t>
    </rPh>
    <phoneticPr fontId="1"/>
  </si>
  <si>
    <t>就学前の子どもに関する教育、保育等の総合的な提供の推進に関する法律施行規則第14条において準用する第13条又は学校教育法施行規則第23条において準用する第20条から第22条までに該当するもの
「(副園長又は教頭)として発令を受けていること」</t>
    <rPh sb="33" eb="35">
      <t>シコウ</t>
    </rPh>
    <rPh sb="35" eb="37">
      <t>キソク</t>
    </rPh>
    <rPh sb="37" eb="38">
      <t>ダイ</t>
    </rPh>
    <rPh sb="40" eb="41">
      <t>ジョウ</t>
    </rPh>
    <rPh sb="45" eb="47">
      <t>ジュンヨウ</t>
    </rPh>
    <rPh sb="49" eb="50">
      <t>ダイ</t>
    </rPh>
    <rPh sb="52" eb="53">
      <t>ジョウ</t>
    </rPh>
    <rPh sb="53" eb="54">
      <t>マタ</t>
    </rPh>
    <rPh sb="98" eb="101">
      <t>フクエンチョウ</t>
    </rPh>
    <rPh sb="101" eb="102">
      <t>マタ</t>
    </rPh>
    <rPh sb="103" eb="105">
      <t>キョウトウ</t>
    </rPh>
    <phoneticPr fontId="1"/>
  </si>
  <si>
    <t>　 加算要件
(１～３の要件全てに該当する場合に加算)</t>
    <rPh sb="2" eb="4">
      <t>カサン</t>
    </rPh>
    <rPh sb="4" eb="6">
      <t>ヨウケン</t>
    </rPh>
    <rPh sb="13" eb="15">
      <t>ヨウケン</t>
    </rPh>
    <rPh sb="15" eb="16">
      <t>スベ</t>
    </rPh>
    <rPh sb="18" eb="20">
      <t>ガイトウ</t>
    </rPh>
    <rPh sb="22" eb="24">
      <t>バアイ</t>
    </rPh>
    <rPh sb="25" eb="27">
      <t>カサン</t>
    </rPh>
    <phoneticPr fontId="1"/>
  </si>
  <si>
    <t>　延長保育事業
（子ども・子育て支援交付金の交付に係る要件に適合するもの及びこれと同等の要件を満たして自主事業として実施しているもの。※１）</t>
    <phoneticPr fontId="1"/>
  </si>
  <si>
    <t>　一時預かり事業（一般型）
（子ども・子育て支援交付金に係る要件に適合しており、かつ、月の平均対象子どもが１人以上いるもの（年度当初から事業を開始する場合は５月において当該要件を満たしていることをもって４月から当該要件を満たしているものと取り扱う。）。※１）</t>
    <phoneticPr fontId="1"/>
  </si>
  <si>
    <t>①</t>
    <phoneticPr fontId="1"/>
  </si>
  <si>
    <t>ア</t>
    <phoneticPr fontId="1"/>
  </si>
  <si>
    <t>※</t>
    <phoneticPr fontId="1"/>
  </si>
  <si>
    <t>【参考】基本配置の調理員の配置状況</t>
    <rPh sb="1" eb="3">
      <t>サンコウ</t>
    </rPh>
    <rPh sb="4" eb="6">
      <t>キホン</t>
    </rPh>
    <rPh sb="6" eb="8">
      <t>ハイチ</t>
    </rPh>
    <rPh sb="9" eb="12">
      <t>チョウリイン</t>
    </rPh>
    <rPh sb="13" eb="15">
      <t>ハイチ</t>
    </rPh>
    <rPh sb="15" eb="17">
      <t>ジョウキョウ</t>
    </rPh>
    <phoneticPr fontId="1"/>
  </si>
  <si>
    <t>②　</t>
    <phoneticPr fontId="1"/>
  </si>
  <si>
    <t>市内</t>
    <rPh sb="0" eb="2">
      <t>シナイ</t>
    </rPh>
    <phoneticPr fontId="1"/>
  </si>
  <si>
    <t>市内/外</t>
    <rPh sb="0" eb="2">
      <t>シナイ</t>
    </rPh>
    <rPh sb="3" eb="4">
      <t>ガイ</t>
    </rPh>
    <phoneticPr fontId="1"/>
  </si>
  <si>
    <t>1　利用児童状況(クラス年齢)</t>
    <rPh sb="2" eb="4">
      <t>リヨウ</t>
    </rPh>
    <rPh sb="4" eb="6">
      <t>ジドウ</t>
    </rPh>
    <rPh sb="6" eb="8">
      <t>ジョウキョウ</t>
    </rPh>
    <rPh sb="12" eb="14">
      <t>ネンレイ</t>
    </rPh>
    <phoneticPr fontId="1"/>
  </si>
  <si>
    <t>各月初日における利用児童数(市外児童含む)</t>
    <rPh sb="0" eb="1">
      <t>カク</t>
    </rPh>
    <rPh sb="1" eb="2">
      <t>ツキ</t>
    </rPh>
    <rPh sb="2" eb="4">
      <t>ショニチ</t>
    </rPh>
    <rPh sb="8" eb="10">
      <t>リヨウ</t>
    </rPh>
    <rPh sb="10" eb="12">
      <t>ジドウ</t>
    </rPh>
    <rPh sb="12" eb="13">
      <t>スウ</t>
    </rPh>
    <rPh sb="14" eb="16">
      <t>シガイ</t>
    </rPh>
    <rPh sb="16" eb="18">
      <t>ジドウ</t>
    </rPh>
    <rPh sb="18" eb="19">
      <t>フク</t>
    </rPh>
    <phoneticPr fontId="1"/>
  </si>
  <si>
    <t>（総計）</t>
    <rPh sb="1" eb="2">
      <t>ソウ</t>
    </rPh>
    <rPh sb="2" eb="3">
      <t>ケイ</t>
    </rPh>
    <phoneticPr fontId="1"/>
  </si>
  <si>
    <t>市外</t>
    <rPh sb="0" eb="2">
      <t>シガイ</t>
    </rPh>
    <phoneticPr fontId="1"/>
  </si>
  <si>
    <t>１号と２・３号に1/2ずつ按分</t>
    <phoneticPr fontId="1"/>
  </si>
  <si>
    <t>栄養管理加算</t>
    <rPh sb="0" eb="2">
      <t>エイヨウ</t>
    </rPh>
    <rPh sb="2" eb="4">
      <t>カンリ</t>
    </rPh>
    <rPh sb="4" eb="6">
      <t>カサン</t>
    </rPh>
    <phoneticPr fontId="1"/>
  </si>
  <si>
    <t>休日等を含めて年間を通じて受け入れ態勢を確保している(①又は②のどちらかを満たすこと）</t>
    <rPh sb="0" eb="2">
      <t>キュウジツ</t>
    </rPh>
    <rPh sb="2" eb="3">
      <t>トウ</t>
    </rPh>
    <rPh sb="4" eb="5">
      <t>フク</t>
    </rPh>
    <rPh sb="7" eb="9">
      <t>ネンカン</t>
    </rPh>
    <rPh sb="10" eb="11">
      <t>ツウ</t>
    </rPh>
    <rPh sb="13" eb="14">
      <t>ウ</t>
    </rPh>
    <rPh sb="15" eb="16">
      <t>イ</t>
    </rPh>
    <rPh sb="17" eb="19">
      <t>タイセイ</t>
    </rPh>
    <rPh sb="20" eb="22">
      <t>カクホ</t>
    </rPh>
    <rPh sb="28" eb="29">
      <t>マタ</t>
    </rPh>
    <rPh sb="37" eb="38">
      <t>ミ</t>
    </rPh>
    <phoneticPr fontId="1"/>
  </si>
  <si>
    <t>①</t>
    <phoneticPr fontId="1"/>
  </si>
  <si>
    <t>②</t>
    <phoneticPr fontId="1"/>
  </si>
  <si>
    <t>共同保育施設名：</t>
    <rPh sb="0" eb="2">
      <t>キョウドウ</t>
    </rPh>
    <rPh sb="2" eb="4">
      <t>ホイク</t>
    </rPh>
    <rPh sb="4" eb="6">
      <t>シセツ</t>
    </rPh>
    <rPh sb="6" eb="7">
      <t>メイ</t>
    </rPh>
    <phoneticPr fontId="1"/>
  </si>
  <si>
    <t>加算要件
以下のとおり
1：加算の適否
2：加算区分1
3：加算区分2</t>
    <rPh sb="0" eb="2">
      <t>カサン</t>
    </rPh>
    <rPh sb="2" eb="4">
      <t>ヨウケン</t>
    </rPh>
    <rPh sb="6" eb="8">
      <t>イカ</t>
    </rPh>
    <rPh sb="15" eb="17">
      <t>カサン</t>
    </rPh>
    <rPh sb="18" eb="20">
      <t>テキヒ</t>
    </rPh>
    <rPh sb="23" eb="25">
      <t>カサン</t>
    </rPh>
    <rPh sb="25" eb="27">
      <t>クブン</t>
    </rPh>
    <rPh sb="31" eb="33">
      <t>カサン</t>
    </rPh>
    <rPh sb="33" eb="35">
      <t>クブン</t>
    </rPh>
    <phoneticPr fontId="1"/>
  </si>
  <si>
    <t>実施体制(①又は②のどちらかを選択すること)※1</t>
    <rPh sb="0" eb="2">
      <t>ジッシ</t>
    </rPh>
    <rPh sb="2" eb="4">
      <t>タイセイ</t>
    </rPh>
    <rPh sb="6" eb="7">
      <t>マタ</t>
    </rPh>
    <rPh sb="15" eb="17">
      <t>センタク</t>
    </rPh>
    <phoneticPr fontId="1"/>
  </si>
  <si>
    <t>(ｱ)</t>
    <phoneticPr fontId="1"/>
  </si>
  <si>
    <t>(ｲ)</t>
    <phoneticPr fontId="1"/>
  </si>
  <si>
    <t>週当たりの実施日数【小数点第1位四捨五入】
（修業期間中の平均的な月当たりの実施日数÷4週）</t>
    <rPh sb="0" eb="1">
      <t>シュウ</t>
    </rPh>
    <rPh sb="1" eb="2">
      <t>ア</t>
    </rPh>
    <rPh sb="5" eb="7">
      <t>ジッシ</t>
    </rPh>
    <rPh sb="7" eb="9">
      <t>ニッスウ</t>
    </rPh>
    <rPh sb="10" eb="13">
      <t>ショウスウテン</t>
    </rPh>
    <rPh sb="13" eb="14">
      <t>ダイ</t>
    </rPh>
    <rPh sb="15" eb="16">
      <t>イ</t>
    </rPh>
    <rPh sb="16" eb="20">
      <t>シシャゴニュウ</t>
    </rPh>
    <rPh sb="23" eb="25">
      <t>シュウギョウ</t>
    </rPh>
    <phoneticPr fontId="1"/>
  </si>
  <si>
    <t>修業日数(下段は上限値)※2</t>
    <rPh sb="5" eb="7">
      <t>カダン</t>
    </rPh>
    <rPh sb="8" eb="10">
      <t>ジョウゲン</t>
    </rPh>
    <rPh sb="10" eb="11">
      <t>チ</t>
    </rPh>
    <phoneticPr fontId="1"/>
  </si>
  <si>
    <t>⇒</t>
    <phoneticPr fontId="1"/>
  </si>
  <si>
    <t>修業期間中の平均的な月当たりの実施日数＝給食の実施予定数÷修業日数×20日＝</t>
    <rPh sb="0" eb="2">
      <t>シュウギョウ</t>
    </rPh>
    <rPh sb="2" eb="5">
      <t>キカンチュウ</t>
    </rPh>
    <rPh sb="6" eb="9">
      <t>ヘイキンテキ</t>
    </rPh>
    <rPh sb="10" eb="12">
      <t>ツキア</t>
    </rPh>
    <rPh sb="15" eb="17">
      <t>ジッシ</t>
    </rPh>
    <rPh sb="17" eb="19">
      <t>ニッスウ</t>
    </rPh>
    <rPh sb="20" eb="22">
      <t>キュウショク</t>
    </rPh>
    <rPh sb="23" eb="25">
      <t>ジッシ</t>
    </rPh>
    <rPh sb="25" eb="27">
      <t>ヨテイ</t>
    </rPh>
    <rPh sb="27" eb="28">
      <t>スウ</t>
    </rPh>
    <rPh sb="29" eb="31">
      <t>シュウギョウ</t>
    </rPh>
    <rPh sb="31" eb="33">
      <t>ニッスウ</t>
    </rPh>
    <rPh sb="36" eb="37">
      <t>ニチ</t>
    </rPh>
    <phoneticPr fontId="1"/>
  </si>
  <si>
    <t>③　２-②を「○」にした場合は、委託等の状況が分かる書類(業務委託契約書等)</t>
    <rPh sb="12" eb="14">
      <t>バアイ</t>
    </rPh>
    <rPh sb="16" eb="18">
      <t>イタク</t>
    </rPh>
    <rPh sb="18" eb="19">
      <t>トウ</t>
    </rPh>
    <rPh sb="20" eb="22">
      <t>ジョウキョウ</t>
    </rPh>
    <rPh sb="23" eb="24">
      <t>ワ</t>
    </rPh>
    <rPh sb="26" eb="28">
      <t>ショルイ</t>
    </rPh>
    <rPh sb="29" eb="31">
      <t>ギョウム</t>
    </rPh>
    <rPh sb="31" eb="33">
      <t>イタク</t>
    </rPh>
    <rPh sb="33" eb="36">
      <t>ケイヤクショ</t>
    </rPh>
    <rPh sb="36" eb="37">
      <t>トウ</t>
    </rPh>
    <phoneticPr fontId="1"/>
  </si>
  <si>
    <t>※1　区分は以下のとおりです。</t>
    <rPh sb="3" eb="5">
      <t>クブン</t>
    </rPh>
    <rPh sb="6" eb="8">
      <t>イカ</t>
    </rPh>
    <phoneticPr fontId="1"/>
  </si>
  <si>
    <r>
      <t>※　</t>
    </r>
    <r>
      <rPr>
        <sz val="10"/>
        <color rgb="FFFF0000"/>
        <rFont val="ＭＳ 明朝"/>
        <family val="1"/>
        <charset val="128"/>
      </rPr>
      <t>１号認定児童に対する</t>
    </r>
    <r>
      <rPr>
        <sz val="10"/>
        <rFont val="ＭＳ 明朝"/>
        <family val="1"/>
        <charset val="128"/>
      </rPr>
      <t>給食に係る加算ですのでご注意ください。</t>
    </r>
    <rPh sb="3" eb="4">
      <t>ゴウ</t>
    </rPh>
    <rPh sb="4" eb="6">
      <t>ニンテイ</t>
    </rPh>
    <rPh sb="6" eb="8">
      <t>ジドウ</t>
    </rPh>
    <rPh sb="9" eb="10">
      <t>タイ</t>
    </rPh>
    <rPh sb="12" eb="14">
      <t>キュウショク</t>
    </rPh>
    <rPh sb="15" eb="16">
      <t>カカ</t>
    </rPh>
    <rPh sb="17" eb="19">
      <t>カサン</t>
    </rPh>
    <rPh sb="24" eb="26">
      <t>チュウイ</t>
    </rPh>
    <phoneticPr fontId="1"/>
  </si>
  <si>
    <r>
      <t>　申請をする場合、毎月分提出すること。</t>
    </r>
    <r>
      <rPr>
        <sz val="10"/>
        <rFont val="ＭＳ 明朝"/>
        <family val="1"/>
        <charset val="128"/>
      </rPr>
      <t>また、当該加算は</t>
    </r>
    <r>
      <rPr>
        <sz val="10"/>
        <color rgb="FFFF0000"/>
        <rFont val="ＭＳ 明朝"/>
        <family val="1"/>
        <charset val="128"/>
      </rPr>
      <t>1号認定児童</t>
    </r>
    <r>
      <rPr>
        <sz val="10"/>
        <rFont val="ＭＳ 明朝"/>
        <family val="1"/>
        <charset val="128"/>
      </rPr>
      <t>に対するものであることに注意。</t>
    </r>
    <rPh sb="1" eb="3">
      <t>シンセイ</t>
    </rPh>
    <rPh sb="6" eb="8">
      <t>バアイ</t>
    </rPh>
    <rPh sb="9" eb="11">
      <t>マイツキ</t>
    </rPh>
    <rPh sb="11" eb="12">
      <t>ブン</t>
    </rPh>
    <rPh sb="12" eb="14">
      <t>テイシュツ</t>
    </rPh>
    <rPh sb="22" eb="24">
      <t>トウガイ</t>
    </rPh>
    <rPh sb="24" eb="26">
      <t>カサン</t>
    </rPh>
    <rPh sb="28" eb="29">
      <t>ゴウ</t>
    </rPh>
    <rPh sb="29" eb="31">
      <t>ニンテイ</t>
    </rPh>
    <rPh sb="31" eb="33">
      <t>ジドウ</t>
    </rPh>
    <rPh sb="34" eb="35">
      <t>タイ</t>
    </rPh>
    <rPh sb="45" eb="47">
      <t>チュウイ</t>
    </rPh>
    <phoneticPr fontId="1"/>
  </si>
  <si>
    <t>加算要件
（１～２の要件全てに該当する場合に加算）</t>
    <rPh sb="0" eb="2">
      <t>カサン</t>
    </rPh>
    <rPh sb="2" eb="4">
      <t>ヨウケン</t>
    </rPh>
    <phoneticPr fontId="1"/>
  </si>
  <si>
    <t>以下の要件を満たす副食を提供している。</t>
    <rPh sb="0" eb="2">
      <t>イカ</t>
    </rPh>
    <rPh sb="3" eb="5">
      <t>ヨウケン</t>
    </rPh>
    <rPh sb="6" eb="7">
      <t>ミ</t>
    </rPh>
    <rPh sb="9" eb="11">
      <t>フクショク</t>
    </rPh>
    <rPh sb="12" eb="14">
      <t>テイキョウ</t>
    </rPh>
    <phoneticPr fontId="1"/>
  </si>
  <si>
    <t>※　加算の対象とならない副食の提供に要する費用については、保護者から徴収することが可能</t>
    <phoneticPr fontId="1"/>
  </si>
  <si>
    <t>※　給食実施加算と異なり、副食を一部しか提供しない日は含まない</t>
    <rPh sb="2" eb="4">
      <t>キュウショク</t>
    </rPh>
    <rPh sb="4" eb="6">
      <t>ジッシ</t>
    </rPh>
    <rPh sb="6" eb="8">
      <t>カサン</t>
    </rPh>
    <rPh sb="9" eb="10">
      <t>コト</t>
    </rPh>
    <rPh sb="13" eb="15">
      <t>フクショク</t>
    </rPh>
    <rPh sb="16" eb="18">
      <t>イチブ</t>
    </rPh>
    <rPh sb="20" eb="22">
      <t>テイキョウ</t>
    </rPh>
    <rPh sb="25" eb="26">
      <t>ヒ</t>
    </rPh>
    <rPh sb="27" eb="28">
      <t>フク</t>
    </rPh>
    <phoneticPr fontId="1"/>
  </si>
  <si>
    <t>土曜日に閉所している日がある</t>
    <rPh sb="0" eb="2">
      <t>ドヨウ</t>
    </rPh>
    <rPh sb="2" eb="3">
      <t>ビ</t>
    </rPh>
    <rPh sb="4" eb="6">
      <t>ヘイショ</t>
    </rPh>
    <rPh sb="10" eb="11">
      <t>ヒ</t>
    </rPh>
    <phoneticPr fontId="1"/>
  </si>
  <si>
    <t>閉所している日数</t>
    <rPh sb="0" eb="2">
      <t>ヘイショ</t>
    </rPh>
    <rPh sb="6" eb="8">
      <t>ニッスウ</t>
    </rPh>
    <phoneticPr fontId="1"/>
  </si>
  <si>
    <t>※　土曜日（国民の祝日及び休日を除く）に係る保育の利用希望が無いなどの理由により土曜日に閉所する日がある月に適用されます。また、開所していても利用児童が無く保育の提供をしていない場合には閉所しているものとして扱います。なお、共同保育により利用希望者の保育を確保した場合は、閉所日数に含めません。</t>
    <phoneticPr fontId="1"/>
  </si>
  <si>
    <t>日数</t>
    <rPh sb="0" eb="2">
      <t>ニッスウ</t>
    </rPh>
    <phoneticPr fontId="1"/>
  </si>
  <si>
    <t>⑤</t>
    <phoneticPr fontId="1"/>
  </si>
  <si>
    <t>　年間を通じた継続的な小学校との連携・接続に係る取り組み</t>
    <rPh sb="1" eb="3">
      <t>ネンカン</t>
    </rPh>
    <rPh sb="4" eb="5">
      <t>ツウ</t>
    </rPh>
    <rPh sb="7" eb="10">
      <t>ケイゾクテキ</t>
    </rPh>
    <rPh sb="11" eb="14">
      <t>ショウガッコウ</t>
    </rPh>
    <rPh sb="16" eb="18">
      <t>レンケイ</t>
    </rPh>
    <rPh sb="19" eb="21">
      <t>セツゾク</t>
    </rPh>
    <rPh sb="22" eb="23">
      <t>カカ</t>
    </rPh>
    <rPh sb="24" eb="25">
      <t>ト</t>
    </rPh>
    <rPh sb="26" eb="27">
      <t>ク</t>
    </rPh>
    <phoneticPr fontId="1"/>
  </si>
  <si>
    <t>担当職員名</t>
    <rPh sb="0" eb="2">
      <t>タントウ</t>
    </rPh>
    <rPh sb="2" eb="4">
      <t>ショクイン</t>
    </rPh>
    <rPh sb="4" eb="5">
      <t>メイ</t>
    </rPh>
    <phoneticPr fontId="1"/>
  </si>
  <si>
    <t>　障害児（軽度障害児を含む。）に対する教育・保育の提供※2</t>
    <phoneticPr fontId="1"/>
  </si>
  <si>
    <t>　満３歳児に対する教育・保育の提供※2</t>
    <phoneticPr fontId="1"/>
  </si>
  <si>
    <t>　病児保育事業</t>
    <phoneticPr fontId="1"/>
  </si>
  <si>
    <t>　障害児（軽度障害児を含む。）が１人以上利用している施設※1</t>
    <phoneticPr fontId="1"/>
  </si>
  <si>
    <t>【様式１：認定こども園】</t>
    <rPh sb="1" eb="3">
      <t>ヨウシキ</t>
    </rPh>
    <rPh sb="5" eb="7">
      <t>ニンテイ</t>
    </rPh>
    <rPh sb="10" eb="11">
      <t>エン</t>
    </rPh>
    <phoneticPr fontId="1"/>
  </si>
  <si>
    <t>03認定こども園</t>
  </si>
  <si>
    <t>　１施設当たりの改修等に要した費用を2,000で除して得た値が、建物全体の延面積に２を乗じて得た値を上回る場合で、かつ、改修等に要した費用が1,000万円以上</t>
    <phoneticPr fontId="1"/>
  </si>
  <si>
    <t>【×】を選択した場合＞＞
施設整備費等の国庫補助の交付を受けて建設した建物について、整備後一定年数が経過したものであり、以下の要件全てに該当する場合</t>
    <rPh sb="60" eb="62">
      <t>イカ</t>
    </rPh>
    <rPh sb="63" eb="65">
      <t>ヨウケン</t>
    </rPh>
    <rPh sb="65" eb="66">
      <t>スベ</t>
    </rPh>
    <rPh sb="68" eb="70">
      <t>ガイトウ</t>
    </rPh>
    <rPh sb="72" eb="74">
      <t>バアイ</t>
    </rPh>
    <phoneticPr fontId="1"/>
  </si>
  <si>
    <t>　建物の設備に当たって、施設整備費又は改修費等の国庫補助金の交付を受けていない</t>
    <rPh sb="1" eb="3">
      <t>タテモノ</t>
    </rPh>
    <rPh sb="4" eb="6">
      <t>セツビ</t>
    </rPh>
    <rPh sb="7" eb="8">
      <t>ア</t>
    </rPh>
    <rPh sb="12" eb="14">
      <t>シセツ</t>
    </rPh>
    <rPh sb="14" eb="17">
      <t>セイビヒ</t>
    </rPh>
    <rPh sb="17" eb="18">
      <t>マタ</t>
    </rPh>
    <rPh sb="19" eb="21">
      <t>カイシュウ</t>
    </rPh>
    <rPh sb="21" eb="22">
      <t>ヒ</t>
    </rPh>
    <rPh sb="22" eb="23">
      <t>トウ</t>
    </rPh>
    <rPh sb="24" eb="26">
      <t>コッコ</t>
    </rPh>
    <rPh sb="26" eb="29">
      <t>ホジョキン</t>
    </rPh>
    <rPh sb="30" eb="32">
      <t>コウフ</t>
    </rPh>
    <rPh sb="33" eb="34">
      <t>ウ</t>
    </rPh>
    <phoneticPr fontId="1"/>
  </si>
  <si>
    <t>　建物を整備・改修又は取得する際に、建設資金又は購入資金が発生している</t>
    <rPh sb="7" eb="9">
      <t>カイシュウ</t>
    </rPh>
    <phoneticPr fontId="1"/>
  </si>
  <si>
    <t>　認定こども園の用に供する建物に対する賃借料が発生している</t>
    <rPh sb="1" eb="3">
      <t>ニンテイ</t>
    </rPh>
    <rPh sb="6" eb="7">
      <t>エン</t>
    </rPh>
    <rPh sb="16" eb="17">
      <t>タイ</t>
    </rPh>
    <rPh sb="19" eb="22">
      <t>チンシャクリョウ</t>
    </rPh>
    <rPh sb="23" eb="25">
      <t>ハッセイ</t>
    </rPh>
    <phoneticPr fontId="1"/>
  </si>
  <si>
    <t>　賃借料の国庫補助を受けた施設については、当該補助に係る残額が生じていない</t>
    <rPh sb="1" eb="4">
      <t>チンシャクリョウ</t>
    </rPh>
    <phoneticPr fontId="1"/>
  </si>
  <si>
    <t>※　送迎の実施方法（運転手を雇用して実施又は業務委託して実施等）は問わない</t>
    <rPh sb="2" eb="4">
      <t>ソウゲイ</t>
    </rPh>
    <rPh sb="5" eb="7">
      <t>ジッシ</t>
    </rPh>
    <rPh sb="7" eb="9">
      <t>ホウホウ</t>
    </rPh>
    <rPh sb="10" eb="13">
      <t>ウンテンシュ</t>
    </rPh>
    <rPh sb="14" eb="16">
      <t>コヨウ</t>
    </rPh>
    <rPh sb="18" eb="20">
      <t>ジッシ</t>
    </rPh>
    <rPh sb="20" eb="21">
      <t>マタ</t>
    </rPh>
    <rPh sb="22" eb="24">
      <t>ギョウム</t>
    </rPh>
    <rPh sb="24" eb="26">
      <t>イタク</t>
    </rPh>
    <rPh sb="28" eb="30">
      <t>ジッシ</t>
    </rPh>
    <rPh sb="30" eb="31">
      <t>トウ</t>
    </rPh>
    <rPh sb="33" eb="34">
      <t>ト</t>
    </rPh>
    <phoneticPr fontId="1"/>
  </si>
  <si>
    <t>　小学校との連携・接続に関する業務分掌を明確にしている</t>
    <rPh sb="1" eb="4">
      <t>ショウガッコウ</t>
    </rPh>
    <rPh sb="6" eb="8">
      <t>レンケイ</t>
    </rPh>
    <rPh sb="9" eb="11">
      <t>セツゾク</t>
    </rPh>
    <rPh sb="12" eb="13">
      <t>カン</t>
    </rPh>
    <rPh sb="15" eb="17">
      <t>ギョウム</t>
    </rPh>
    <rPh sb="17" eb="19">
      <t>ブンショウ</t>
    </rPh>
    <rPh sb="20" eb="22">
      <t>メイカク</t>
    </rPh>
    <phoneticPr fontId="1"/>
  </si>
  <si>
    <t>※２　要件を満たした月以降の各月においては、同一年度に限り、事業を実施する体制が取られていることをもって当該要件を満たしているものと取り扱う</t>
    <phoneticPr fontId="1"/>
  </si>
  <si>
    <t>①　職員氏名</t>
    <rPh sb="2" eb="4">
      <t>ショクイン</t>
    </rPh>
    <rPh sb="4" eb="6">
      <t>シメイ</t>
    </rPh>
    <phoneticPr fontId="3"/>
  </si>
  <si>
    <t>不足数</t>
    <rPh sb="0" eb="2">
      <t>フソク</t>
    </rPh>
    <rPh sb="2" eb="3">
      <t>スウ</t>
    </rPh>
    <phoneticPr fontId="1"/>
  </si>
  <si>
    <t>減算数</t>
    <rPh sb="0" eb="2">
      <t>ゲンサン</t>
    </rPh>
    <rPh sb="2" eb="3">
      <t>スウ</t>
    </rPh>
    <phoneticPr fontId="1"/>
  </si>
  <si>
    <t>　・同一又は系列法人内で運営する施設及び事業について全て記載すること</t>
    <rPh sb="2" eb="4">
      <t>ドウイツ</t>
    </rPh>
    <rPh sb="4" eb="5">
      <t>マタ</t>
    </rPh>
    <rPh sb="6" eb="8">
      <t>ケイレツ</t>
    </rPh>
    <rPh sb="8" eb="10">
      <t>ホウジン</t>
    </rPh>
    <rPh sb="10" eb="11">
      <t>ナイ</t>
    </rPh>
    <rPh sb="12" eb="14">
      <t>ウンエイ</t>
    </rPh>
    <rPh sb="16" eb="18">
      <t>シセツ</t>
    </rPh>
    <rPh sb="18" eb="19">
      <t>オヨ</t>
    </rPh>
    <rPh sb="20" eb="22">
      <t>ジギョウ</t>
    </rPh>
    <rPh sb="26" eb="27">
      <t>スベ</t>
    </rPh>
    <rPh sb="28" eb="30">
      <t>キサイ</t>
    </rPh>
    <phoneticPr fontId="1"/>
  </si>
  <si>
    <t>　・施設の認可の有無は問わない(認可・認可外施設全て含んで、園長を兼務しているかどうかを確認します。)</t>
    <rPh sb="2" eb="4">
      <t>シセツ</t>
    </rPh>
    <rPh sb="5" eb="7">
      <t>ニンカ</t>
    </rPh>
    <rPh sb="8" eb="10">
      <t>ウム</t>
    </rPh>
    <rPh sb="11" eb="12">
      <t>ト</t>
    </rPh>
    <rPh sb="16" eb="18">
      <t>ニンカ</t>
    </rPh>
    <rPh sb="19" eb="21">
      <t>ニンカ</t>
    </rPh>
    <rPh sb="21" eb="22">
      <t>ガイ</t>
    </rPh>
    <rPh sb="22" eb="24">
      <t>シセツ</t>
    </rPh>
    <rPh sb="24" eb="25">
      <t>スベ</t>
    </rPh>
    <rPh sb="26" eb="27">
      <t>フク</t>
    </rPh>
    <rPh sb="30" eb="32">
      <t>エンチョウ</t>
    </rPh>
    <rPh sb="33" eb="35">
      <t>ケンム</t>
    </rPh>
    <rPh sb="44" eb="46">
      <t>カクニン</t>
    </rPh>
    <phoneticPr fontId="1"/>
  </si>
  <si>
    <t>施設・事業名</t>
    <rPh sb="0" eb="2">
      <t>シセツ</t>
    </rPh>
    <rPh sb="3" eb="5">
      <t>ジギョウ</t>
    </rPh>
    <rPh sb="5" eb="6">
      <t>メイ</t>
    </rPh>
    <phoneticPr fontId="1"/>
  </si>
  <si>
    <t>ウ</t>
    <phoneticPr fontId="1"/>
  </si>
  <si>
    <t>ア</t>
    <phoneticPr fontId="1"/>
  </si>
  <si>
    <t>※１　要件を満たした月以降の各月においては、同一年度内に限り、事業を実施する体制が取られていることをもって当該要件を満たしているものと取り扱う</t>
    <phoneticPr fontId="1"/>
  </si>
  <si>
    <t>①　別紙１-１</t>
    <rPh sb="2" eb="4">
      <t>ベッシ</t>
    </rPh>
    <phoneticPr fontId="1"/>
  </si>
  <si>
    <t>②　発令又は辞令書（写し）</t>
    <rPh sb="2" eb="4">
      <t>ハツレイ</t>
    </rPh>
    <rPh sb="4" eb="5">
      <t>マタ</t>
    </rPh>
    <rPh sb="6" eb="8">
      <t>ジレイ</t>
    </rPh>
    <rPh sb="8" eb="9">
      <t>ショ</t>
    </rPh>
    <rPh sb="10" eb="11">
      <t>ウツ</t>
    </rPh>
    <phoneticPr fontId="1"/>
  </si>
  <si>
    <t>③　様式2</t>
    <phoneticPr fontId="1"/>
  </si>
  <si>
    <t>④　同一又は系列法人内で複数施設を運営している場合は、別紙１-２を作成すること。別紙とすることも可能だが、その場合は本務・兼務の有無を別途記載すること。</t>
    <rPh sb="2" eb="4">
      <t>ドウイツ</t>
    </rPh>
    <rPh sb="4" eb="5">
      <t>マタ</t>
    </rPh>
    <rPh sb="6" eb="8">
      <t>ケイレツ</t>
    </rPh>
    <rPh sb="8" eb="10">
      <t>ホウジン</t>
    </rPh>
    <rPh sb="10" eb="11">
      <t>ナイ</t>
    </rPh>
    <rPh sb="12" eb="14">
      <t>フクスウ</t>
    </rPh>
    <rPh sb="14" eb="16">
      <t>シセツ</t>
    </rPh>
    <rPh sb="17" eb="19">
      <t>ウンエイ</t>
    </rPh>
    <rPh sb="23" eb="25">
      <t>バアイ</t>
    </rPh>
    <rPh sb="27" eb="29">
      <t>ベッシ</t>
    </rPh>
    <rPh sb="33" eb="35">
      <t>サクセイ</t>
    </rPh>
    <rPh sb="40" eb="42">
      <t>ベッシ</t>
    </rPh>
    <rPh sb="48" eb="50">
      <t>カノウ</t>
    </rPh>
    <rPh sb="55" eb="57">
      <t>バアイ</t>
    </rPh>
    <rPh sb="58" eb="60">
      <t>ホンム</t>
    </rPh>
    <rPh sb="61" eb="63">
      <t>ケンム</t>
    </rPh>
    <rPh sb="64" eb="66">
      <t>ウム</t>
    </rPh>
    <rPh sb="67" eb="69">
      <t>ベット</t>
    </rPh>
    <rPh sb="69" eb="71">
      <t>キサイ</t>
    </rPh>
    <phoneticPr fontId="1"/>
  </si>
  <si>
    <t>⑤　園長が兼任している場合は様式5</t>
    <rPh sb="2" eb="4">
      <t>エンチョウ</t>
    </rPh>
    <rPh sb="5" eb="7">
      <t>ケンニン</t>
    </rPh>
    <rPh sb="11" eb="13">
      <t>バアイ</t>
    </rPh>
    <phoneticPr fontId="1"/>
  </si>
  <si>
    <t>有効な幼稚園教諭免許状を有している</t>
    <rPh sb="0" eb="2">
      <t>ユウコウ</t>
    </rPh>
    <rPh sb="3" eb="6">
      <t>ヨウチエン</t>
    </rPh>
    <rPh sb="6" eb="8">
      <t>キョウユ</t>
    </rPh>
    <rPh sb="8" eb="10">
      <t>メンキョ</t>
    </rPh>
    <rPh sb="10" eb="11">
      <t>ジョウ</t>
    </rPh>
    <rPh sb="12" eb="13">
      <t>ユウ</t>
    </rPh>
    <phoneticPr fontId="1"/>
  </si>
  <si>
    <t>1号認定子どもの利用定員35人以下又は121人以上である</t>
    <rPh sb="1" eb="2">
      <t>ゴウ</t>
    </rPh>
    <rPh sb="2" eb="4">
      <t>ニンテイ</t>
    </rPh>
    <rPh sb="4" eb="5">
      <t>コ</t>
    </rPh>
    <rPh sb="8" eb="10">
      <t>リヨウ</t>
    </rPh>
    <rPh sb="10" eb="12">
      <t>テイイン</t>
    </rPh>
    <rPh sb="14" eb="17">
      <t>ニンイカ</t>
    </rPh>
    <rPh sb="17" eb="18">
      <t>マタ</t>
    </rPh>
    <rPh sb="22" eb="25">
      <t>ニンイジョウ</t>
    </rPh>
    <phoneticPr fontId="1"/>
  </si>
  <si>
    <t>直前の連続する2年度間常に利用定員を超えている</t>
    <rPh sb="0" eb="2">
      <t>チョクゼン</t>
    </rPh>
    <rPh sb="3" eb="5">
      <t>レンゾク</t>
    </rPh>
    <rPh sb="8" eb="9">
      <t>ネン</t>
    </rPh>
    <rPh sb="9" eb="10">
      <t>ド</t>
    </rPh>
    <rPh sb="10" eb="11">
      <t>カン</t>
    </rPh>
    <rPh sb="11" eb="12">
      <t>ツネ</t>
    </rPh>
    <rPh sb="13" eb="15">
      <t>リヨウ</t>
    </rPh>
    <rPh sb="15" eb="17">
      <t>テイイン</t>
    </rPh>
    <rPh sb="18" eb="19">
      <t>コ</t>
    </rPh>
    <phoneticPr fontId="1"/>
  </si>
  <si>
    <t>非常勤事務を配置している（様式2）</t>
    <rPh sb="0" eb="3">
      <t>ヒジョウキン</t>
    </rPh>
    <rPh sb="3" eb="5">
      <t>ジム</t>
    </rPh>
    <rPh sb="6" eb="8">
      <t>ハイチ</t>
    </rPh>
    <phoneticPr fontId="1"/>
  </si>
  <si>
    <t>事務職員配置加算を取得している</t>
    <rPh sb="0" eb="2">
      <t>ジム</t>
    </rPh>
    <rPh sb="2" eb="4">
      <t>ショクイン</t>
    </rPh>
    <rPh sb="4" eb="6">
      <t>ハイチ</t>
    </rPh>
    <rPh sb="6" eb="8">
      <t>カサン</t>
    </rPh>
    <rPh sb="9" eb="11">
      <t>シュトク</t>
    </rPh>
    <phoneticPr fontId="1"/>
  </si>
  <si>
    <t>認定こども園全体の利用定員271人以上である</t>
    <rPh sb="9" eb="11">
      <t>リヨウ</t>
    </rPh>
    <rPh sb="11" eb="13">
      <t>テイイン</t>
    </rPh>
    <rPh sb="16" eb="19">
      <t>ニンイジョウ</t>
    </rPh>
    <phoneticPr fontId="1"/>
  </si>
  <si>
    <t>地域住民からの障がい児保育相談や地域の障がい児の子育て支援活動等に取り組んでいる</t>
    <rPh sb="31" eb="32">
      <t>トウ</t>
    </rPh>
    <rPh sb="33" eb="34">
      <t>ト</t>
    </rPh>
    <rPh sb="35" eb="36">
      <t>ク</t>
    </rPh>
    <phoneticPr fontId="1"/>
  </si>
  <si>
    <t>※　非常勤講師の代わりに正職の教諭を配置することも可能</t>
    <rPh sb="2" eb="5">
      <t>ヒジョウキン</t>
    </rPh>
    <rPh sb="5" eb="7">
      <t>コウシ</t>
    </rPh>
    <rPh sb="8" eb="9">
      <t>カ</t>
    </rPh>
    <rPh sb="12" eb="14">
      <t>セイショク</t>
    </rPh>
    <rPh sb="15" eb="17">
      <t>キョウユ</t>
    </rPh>
    <rPh sb="18" eb="20">
      <t>ハイチ</t>
    </rPh>
    <rPh sb="25" eb="27">
      <t>カノウ</t>
    </rPh>
    <phoneticPr fontId="1"/>
  </si>
  <si>
    <t>※　本表と同様の内容が確認できる書類の提出がある場合は、本クラス編成表の提出を省略することができます。</t>
    <rPh sb="2" eb="3">
      <t>ホン</t>
    </rPh>
    <rPh sb="3" eb="4">
      <t>ヒョウ</t>
    </rPh>
    <rPh sb="5" eb="7">
      <t>ドウヨウ</t>
    </rPh>
    <rPh sb="8" eb="10">
      <t>ナイヨウ</t>
    </rPh>
    <rPh sb="11" eb="13">
      <t>カクニン</t>
    </rPh>
    <rPh sb="16" eb="18">
      <t>ショルイ</t>
    </rPh>
    <rPh sb="19" eb="21">
      <t>テイシュツ</t>
    </rPh>
    <rPh sb="24" eb="26">
      <t>バアイ</t>
    </rPh>
    <rPh sb="28" eb="29">
      <t>ホン</t>
    </rPh>
    <rPh sb="32" eb="34">
      <t>ヘンセイ</t>
    </rPh>
    <rPh sb="34" eb="35">
      <t>ヒョウ</t>
    </rPh>
    <rPh sb="36" eb="38">
      <t>テイシュツ</t>
    </rPh>
    <rPh sb="39" eb="41">
      <t>ショウリャク</t>
    </rPh>
    <phoneticPr fontId="1"/>
  </si>
  <si>
    <t>※　年齢の高いクラス（年長）から記入願います。</t>
    <rPh sb="2" eb="4">
      <t>ネンレイ</t>
    </rPh>
    <rPh sb="5" eb="6">
      <t>タカ</t>
    </rPh>
    <rPh sb="11" eb="13">
      <t>ネンチョウ</t>
    </rPh>
    <rPh sb="16" eb="18">
      <t>キニュウ</t>
    </rPh>
    <rPh sb="18" eb="19">
      <t>ネガ</t>
    </rPh>
    <phoneticPr fontId="1"/>
  </si>
  <si>
    <t>※　チーム保育加配加算の挙証書類とする場合は、備考欄等を使用しチーム保育体制が分かるようにご記載ください。</t>
    <rPh sb="5" eb="7">
      <t>ホイク</t>
    </rPh>
    <rPh sb="7" eb="9">
      <t>カハイ</t>
    </rPh>
    <rPh sb="9" eb="11">
      <t>カサン</t>
    </rPh>
    <rPh sb="12" eb="14">
      <t>キョショウ</t>
    </rPh>
    <rPh sb="14" eb="16">
      <t>ショルイ</t>
    </rPh>
    <rPh sb="19" eb="21">
      <t>バアイ</t>
    </rPh>
    <rPh sb="23" eb="25">
      <t>ビコウ</t>
    </rPh>
    <rPh sb="25" eb="26">
      <t>ラン</t>
    </rPh>
    <rPh sb="26" eb="27">
      <t>トウ</t>
    </rPh>
    <rPh sb="28" eb="30">
      <t>シヨウ</t>
    </rPh>
    <rPh sb="34" eb="36">
      <t>ホイク</t>
    </rPh>
    <rPh sb="36" eb="38">
      <t>タイセイ</t>
    </rPh>
    <rPh sb="39" eb="40">
      <t>ワ</t>
    </rPh>
    <rPh sb="46" eb="48">
      <t>キサイ</t>
    </rPh>
    <phoneticPr fontId="1"/>
  </si>
  <si>
    <t>区分</t>
    <rPh sb="0" eb="2">
      <t>クブン</t>
    </rPh>
    <phoneticPr fontId="1"/>
  </si>
  <si>
    <t>日数</t>
    <rPh sb="0" eb="2">
      <t>ニッスウ</t>
    </rPh>
    <phoneticPr fontId="1"/>
  </si>
  <si>
    <t>減算区分</t>
    <rPh sb="0" eb="2">
      <t>ゲンサン</t>
    </rPh>
    <rPh sb="2" eb="4">
      <t>クブン</t>
    </rPh>
    <phoneticPr fontId="1"/>
  </si>
  <si>
    <t>現施設の副施設長・教頭に就任～現在に至る</t>
    <rPh sb="0" eb="1">
      <t>ゲン</t>
    </rPh>
    <rPh sb="1" eb="3">
      <t>シセツ</t>
    </rPh>
    <rPh sb="4" eb="8">
      <t>フクシセツチョウ</t>
    </rPh>
    <rPh sb="9" eb="11">
      <t>キョウトウ</t>
    </rPh>
    <rPh sb="12" eb="14">
      <t>シュウニン</t>
    </rPh>
    <rPh sb="15" eb="17">
      <t>ゲンザイ</t>
    </rPh>
    <rPh sb="18" eb="19">
      <t>イタ</t>
    </rPh>
    <phoneticPr fontId="1"/>
  </si>
  <si>
    <t>様式名</t>
    <rPh sb="0" eb="2">
      <t>ヨウシキ</t>
    </rPh>
    <rPh sb="2" eb="3">
      <t>メイ</t>
    </rPh>
    <phoneticPr fontId="1"/>
  </si>
  <si>
    <t>説明</t>
    <rPh sb="0" eb="2">
      <t>セツメイ</t>
    </rPh>
    <phoneticPr fontId="1"/>
  </si>
  <si>
    <t>(2)　様式1(個票)：申請する加算入力(一部様式2～5の入力状況を引用)</t>
    <rPh sb="4" eb="6">
      <t>ヨウシキ</t>
    </rPh>
    <rPh sb="8" eb="9">
      <t>コ</t>
    </rPh>
    <rPh sb="9" eb="10">
      <t>ヒョウ</t>
    </rPh>
    <rPh sb="12" eb="14">
      <t>シンセイ</t>
    </rPh>
    <rPh sb="16" eb="18">
      <t>カサン</t>
    </rPh>
    <rPh sb="18" eb="20">
      <t>ニュウリョク</t>
    </rPh>
    <rPh sb="21" eb="23">
      <t>イチブ</t>
    </rPh>
    <rPh sb="23" eb="25">
      <t>ヨウシキ</t>
    </rPh>
    <rPh sb="29" eb="31">
      <t>ニュウリョク</t>
    </rPh>
    <rPh sb="31" eb="33">
      <t>ジョウキョウ</t>
    </rPh>
    <rPh sb="34" eb="36">
      <t>インヨウ</t>
    </rPh>
    <phoneticPr fontId="1"/>
  </si>
  <si>
    <t>(4)　様式2：月初日時点の職員配置を入力</t>
    <rPh sb="4" eb="6">
      <t>ヨウシキ</t>
    </rPh>
    <rPh sb="8" eb="9">
      <t>ツキ</t>
    </rPh>
    <rPh sb="9" eb="11">
      <t>ショニチ</t>
    </rPh>
    <rPh sb="11" eb="13">
      <t>ジテン</t>
    </rPh>
    <rPh sb="14" eb="16">
      <t>ショクイン</t>
    </rPh>
    <rPh sb="16" eb="18">
      <t>ハイチ</t>
    </rPh>
    <rPh sb="19" eb="21">
      <t>ニュウリョク</t>
    </rPh>
    <phoneticPr fontId="1"/>
  </si>
  <si>
    <t>(5)　様式3：非常勤職員がいる場合は、該当月の勤務予定時間を入力</t>
    <rPh sb="4" eb="6">
      <t>ヨウシキ</t>
    </rPh>
    <rPh sb="8" eb="11">
      <t>ヒジョウキン</t>
    </rPh>
    <rPh sb="11" eb="13">
      <t>ショクイン</t>
    </rPh>
    <rPh sb="16" eb="18">
      <t>バアイ</t>
    </rPh>
    <rPh sb="20" eb="22">
      <t>ガイトウ</t>
    </rPh>
    <rPh sb="22" eb="23">
      <t>ツキ</t>
    </rPh>
    <rPh sb="24" eb="26">
      <t>キンム</t>
    </rPh>
    <rPh sb="26" eb="28">
      <t>ヨテイ</t>
    </rPh>
    <rPh sb="28" eb="30">
      <t>ジカン</t>
    </rPh>
    <rPh sb="31" eb="33">
      <t>ニュウリョク</t>
    </rPh>
    <phoneticPr fontId="1"/>
  </si>
  <si>
    <t>(6)　様式4：クラス編成状況を記載</t>
    <rPh sb="4" eb="6">
      <t>ヨウシキ</t>
    </rPh>
    <rPh sb="11" eb="13">
      <t>ヘンセイ</t>
    </rPh>
    <rPh sb="13" eb="15">
      <t>ジョウキョウ</t>
    </rPh>
    <rPh sb="16" eb="18">
      <t>キサイ</t>
    </rPh>
    <phoneticPr fontId="1"/>
  </si>
  <si>
    <t>(9)　様式6：年度開始月(4月)～申請月までを埋める</t>
    <rPh sb="4" eb="6">
      <t>ヨウシキ</t>
    </rPh>
    <rPh sb="8" eb="10">
      <t>ネンド</t>
    </rPh>
    <rPh sb="10" eb="12">
      <t>カイシ</t>
    </rPh>
    <rPh sb="12" eb="13">
      <t>ツキ</t>
    </rPh>
    <rPh sb="15" eb="16">
      <t>ガツ</t>
    </rPh>
    <rPh sb="18" eb="20">
      <t>シンセイ</t>
    </rPh>
    <rPh sb="20" eb="21">
      <t>ツキ</t>
    </rPh>
    <rPh sb="24" eb="25">
      <t>ウ</t>
    </rPh>
    <phoneticPr fontId="1"/>
  </si>
  <si>
    <t>未入力×/不要△</t>
    <rPh sb="0" eb="3">
      <t>ミニュウリョク</t>
    </rPh>
    <rPh sb="5" eb="7">
      <t>フヨウ</t>
    </rPh>
    <phoneticPr fontId="1"/>
  </si>
  <si>
    <t>超過1/未超過2</t>
    <rPh sb="0" eb="2">
      <t>チョウカ</t>
    </rPh>
    <rPh sb="4" eb="5">
      <t>ミ</t>
    </rPh>
    <rPh sb="5" eb="7">
      <t>チョウカ</t>
    </rPh>
    <phoneticPr fontId="1"/>
  </si>
  <si>
    <t>ソート①</t>
    <phoneticPr fontId="1"/>
  </si>
  <si>
    <t>(1)　様式1(総括表)：申請月、所在区、施設名入力→利用定員が正しいか確認</t>
    <rPh sb="4" eb="6">
      <t>ヨウシキ</t>
    </rPh>
    <rPh sb="8" eb="11">
      <t>ソウカツヒョウ</t>
    </rPh>
    <rPh sb="13" eb="15">
      <t>シンセイ</t>
    </rPh>
    <rPh sb="15" eb="16">
      <t>ツキ</t>
    </rPh>
    <rPh sb="17" eb="19">
      <t>ショザイ</t>
    </rPh>
    <rPh sb="19" eb="20">
      <t>ク</t>
    </rPh>
    <rPh sb="21" eb="23">
      <t>シセツ</t>
    </rPh>
    <rPh sb="23" eb="24">
      <t>メイ</t>
    </rPh>
    <rPh sb="24" eb="26">
      <t>ニュウリョク</t>
    </rPh>
    <rPh sb="27" eb="29">
      <t>リヨウ</t>
    </rPh>
    <rPh sb="29" eb="31">
      <t>テイイン</t>
    </rPh>
    <rPh sb="32" eb="33">
      <t>タダ</t>
    </rPh>
    <rPh sb="36" eb="38">
      <t>カクニン</t>
    </rPh>
    <phoneticPr fontId="1"/>
  </si>
  <si>
    <t>②　特別児童扶養手当を受給している場合は特別児童扶養手当受給者証の写し（期限が有効なものに限る）</t>
    <rPh sb="2" eb="4">
      <t>トクベツ</t>
    </rPh>
    <rPh sb="4" eb="6">
      <t>ジドウ</t>
    </rPh>
    <rPh sb="6" eb="8">
      <t>フヨウ</t>
    </rPh>
    <rPh sb="8" eb="10">
      <t>テアテ</t>
    </rPh>
    <rPh sb="11" eb="13">
      <t>ジュキュウ</t>
    </rPh>
    <rPh sb="17" eb="19">
      <t>バアイ</t>
    </rPh>
    <rPh sb="20" eb="22">
      <t>トクベツ</t>
    </rPh>
    <rPh sb="22" eb="24">
      <t>ジドウ</t>
    </rPh>
    <rPh sb="24" eb="26">
      <t>フヨウ</t>
    </rPh>
    <rPh sb="26" eb="28">
      <t>テアテ</t>
    </rPh>
    <rPh sb="28" eb="31">
      <t>ジュキュウシャ</t>
    </rPh>
    <rPh sb="31" eb="32">
      <t>ショウ</t>
    </rPh>
    <rPh sb="33" eb="34">
      <t>ウツ</t>
    </rPh>
    <rPh sb="36" eb="38">
      <t>キゲン</t>
    </rPh>
    <rPh sb="39" eb="41">
      <t>ユウコウ</t>
    </rPh>
    <rPh sb="45" eb="46">
      <t>カギ</t>
    </rPh>
    <phoneticPr fontId="1"/>
  </si>
  <si>
    <t>園長等が兼務(様式2-③加算等担当職員で該当職員を選択してください)</t>
    <rPh sb="0" eb="2">
      <t>エンチョウ</t>
    </rPh>
    <rPh sb="2" eb="3">
      <t>トウ</t>
    </rPh>
    <rPh sb="4" eb="6">
      <t>ケンム</t>
    </rPh>
    <phoneticPr fontId="1"/>
  </si>
  <si>
    <t>　認定こども園の用に供する建物が自己所有(施設の一部が賃貸物件の場合は、自己所有の建物の延べ面積が施設全体の延べ面積の50％以上）</t>
    <rPh sb="1" eb="3">
      <t>ニンテイ</t>
    </rPh>
    <rPh sb="6" eb="7">
      <t>エン</t>
    </rPh>
    <rPh sb="21" eb="23">
      <t>シセツ</t>
    </rPh>
    <rPh sb="24" eb="26">
      <t>イチブ</t>
    </rPh>
    <rPh sb="27" eb="29">
      <t>チンタイ</t>
    </rPh>
    <rPh sb="29" eb="31">
      <t>ブッケン</t>
    </rPh>
    <rPh sb="32" eb="34">
      <t>バアイ</t>
    </rPh>
    <rPh sb="36" eb="38">
      <t>ジコ</t>
    </rPh>
    <rPh sb="38" eb="40">
      <t>ショユウ</t>
    </rPh>
    <rPh sb="41" eb="43">
      <t>タテモノ</t>
    </rPh>
    <rPh sb="44" eb="45">
      <t>ノ</t>
    </rPh>
    <rPh sb="46" eb="48">
      <t>メンセキ</t>
    </rPh>
    <rPh sb="49" eb="51">
      <t>シセツ</t>
    </rPh>
    <rPh sb="51" eb="53">
      <t>ゼンタイ</t>
    </rPh>
    <rPh sb="54" eb="55">
      <t>ノ</t>
    </rPh>
    <rPh sb="56" eb="58">
      <t>メンセキ</t>
    </rPh>
    <rPh sb="62" eb="64">
      <t>イジョウ</t>
    </rPh>
    <phoneticPr fontId="1"/>
  </si>
  <si>
    <t>　認定こども園の用に供する建物が賃貸物件である（施設の一部が自己所有の場合は、賃貸による建物の延べ面積が施設全体の延べ面積の50％以上）</t>
    <rPh sb="1" eb="3">
      <t>ニンテイ</t>
    </rPh>
    <rPh sb="6" eb="7">
      <t>エン</t>
    </rPh>
    <rPh sb="16" eb="18">
      <t>チンタイ</t>
    </rPh>
    <rPh sb="18" eb="20">
      <t>ブッケン</t>
    </rPh>
    <rPh sb="24" eb="26">
      <t>シセツ</t>
    </rPh>
    <rPh sb="27" eb="29">
      <t>イチブ</t>
    </rPh>
    <rPh sb="30" eb="32">
      <t>ジコ</t>
    </rPh>
    <rPh sb="32" eb="34">
      <t>ショユウ</t>
    </rPh>
    <rPh sb="35" eb="37">
      <t>バアイ</t>
    </rPh>
    <rPh sb="39" eb="41">
      <t>チンタイ</t>
    </rPh>
    <rPh sb="44" eb="46">
      <t>タテモノ</t>
    </rPh>
    <rPh sb="47" eb="48">
      <t>ノ</t>
    </rPh>
    <rPh sb="49" eb="51">
      <t>メンセキ</t>
    </rPh>
    <rPh sb="52" eb="54">
      <t>シセツ</t>
    </rPh>
    <rPh sb="54" eb="56">
      <t>ゼンタイ</t>
    </rPh>
    <rPh sb="57" eb="58">
      <t>ノ</t>
    </rPh>
    <rPh sb="59" eb="61">
      <t>メンセキ</t>
    </rPh>
    <rPh sb="65" eb="67">
      <t>イジョウ</t>
    </rPh>
    <phoneticPr fontId="1"/>
  </si>
  <si>
    <t>加算要件
(1～2の要件全てに該当する場合に加算)</t>
    <rPh sb="0" eb="2">
      <t>カサン</t>
    </rPh>
    <rPh sb="2" eb="4">
      <t>ヨウケン</t>
    </rPh>
    <rPh sb="10" eb="12">
      <t>ヨウケン</t>
    </rPh>
    <rPh sb="12" eb="13">
      <t>スベ</t>
    </rPh>
    <rPh sb="15" eb="17">
      <t>ガイトウ</t>
    </rPh>
    <rPh sb="19" eb="21">
      <t>バアイ</t>
    </rPh>
    <rPh sb="22" eb="24">
      <t>カサン</t>
    </rPh>
    <phoneticPr fontId="1"/>
  </si>
  <si>
    <t>副食の全てを提供している。
※　おやつや牛乳のみなど、副食の一部を提供する場合は対象外</t>
    <rPh sb="0" eb="2">
      <t>フクショク</t>
    </rPh>
    <rPh sb="3" eb="4">
      <t>スベ</t>
    </rPh>
    <rPh sb="6" eb="8">
      <t>テイキョウ</t>
    </rPh>
    <rPh sb="37" eb="39">
      <t>バアイ</t>
    </rPh>
    <phoneticPr fontId="1"/>
  </si>
  <si>
    <t>不足保育教諭数</t>
    <rPh sb="0" eb="2">
      <t>フソク</t>
    </rPh>
    <rPh sb="2" eb="4">
      <t>ホイク</t>
    </rPh>
    <rPh sb="4" eb="6">
      <t>キョウユ</t>
    </rPh>
    <rPh sb="6" eb="7">
      <t>インズウ</t>
    </rPh>
    <phoneticPr fontId="1"/>
  </si>
  <si>
    <t>（前月分確認）</t>
    <rPh sb="1" eb="3">
      <t>ゼンゲツ</t>
    </rPh>
    <rPh sb="3" eb="4">
      <t>ブン</t>
    </rPh>
    <rPh sb="4" eb="6">
      <t>カクニン</t>
    </rPh>
    <phoneticPr fontId="1"/>
  </si>
  <si>
    <t>共同保育※1により年間を通じて保育を提供する体制を確保している</t>
    <rPh sb="0" eb="2">
      <t>キョウドウ</t>
    </rPh>
    <rPh sb="2" eb="4">
      <t>ホイク</t>
    </rPh>
    <rPh sb="9" eb="11">
      <t>ネンカン</t>
    </rPh>
    <rPh sb="12" eb="13">
      <t>ツウ</t>
    </rPh>
    <rPh sb="15" eb="17">
      <t>ホイク</t>
    </rPh>
    <rPh sb="18" eb="20">
      <t>テイキョウ</t>
    </rPh>
    <rPh sb="22" eb="24">
      <t>タイセイ</t>
    </rPh>
    <rPh sb="25" eb="27">
      <t>カクホ</t>
    </rPh>
    <phoneticPr fontId="1"/>
  </si>
  <si>
    <t>※1　休日保育に係り共同保育が実施できる施設は、保育所、幼稚園、認定こども園、地域型保育事業所（居宅訪問型保育事業所は除く）、企業主導型保育施設のみ。ただし、いずれも事前に札幌市子ども未来局に届出を行い事前に許可されていること</t>
    <rPh sb="3" eb="5">
      <t>キュウジツ</t>
    </rPh>
    <rPh sb="5" eb="7">
      <t>ホイク</t>
    </rPh>
    <rPh sb="8" eb="9">
      <t>カカ</t>
    </rPh>
    <rPh sb="10" eb="12">
      <t>キョウドウ</t>
    </rPh>
    <rPh sb="12" eb="14">
      <t>ホイク</t>
    </rPh>
    <rPh sb="15" eb="17">
      <t>ジッシ</t>
    </rPh>
    <rPh sb="20" eb="22">
      <t>シセツ</t>
    </rPh>
    <rPh sb="24" eb="26">
      <t>ホイク</t>
    </rPh>
    <rPh sb="26" eb="27">
      <t>ショ</t>
    </rPh>
    <rPh sb="28" eb="31">
      <t>ヨウチエン</t>
    </rPh>
    <rPh sb="32" eb="34">
      <t>ニンテイ</t>
    </rPh>
    <rPh sb="37" eb="38">
      <t>エン</t>
    </rPh>
    <rPh sb="39" eb="42">
      <t>チイキガタ</t>
    </rPh>
    <rPh sb="42" eb="44">
      <t>ホイク</t>
    </rPh>
    <rPh sb="44" eb="47">
      <t>ジギョウショ</t>
    </rPh>
    <rPh sb="48" eb="50">
      <t>キョタク</t>
    </rPh>
    <rPh sb="50" eb="52">
      <t>ホウモン</t>
    </rPh>
    <rPh sb="52" eb="53">
      <t>ガタ</t>
    </rPh>
    <rPh sb="53" eb="55">
      <t>ホイク</t>
    </rPh>
    <rPh sb="55" eb="58">
      <t>ジギョウショ</t>
    </rPh>
    <rPh sb="59" eb="60">
      <t>ノゾ</t>
    </rPh>
    <rPh sb="63" eb="65">
      <t>キギョウ</t>
    </rPh>
    <rPh sb="65" eb="68">
      <t>シュドウガタ</t>
    </rPh>
    <rPh sb="68" eb="70">
      <t>ホイク</t>
    </rPh>
    <rPh sb="70" eb="72">
      <t>シセツ</t>
    </rPh>
    <rPh sb="83" eb="85">
      <t>ジゼン</t>
    </rPh>
    <rPh sb="86" eb="89">
      <t>サッポロシ</t>
    </rPh>
    <rPh sb="89" eb="90">
      <t>コ</t>
    </rPh>
    <rPh sb="92" eb="94">
      <t>ミライ</t>
    </rPh>
    <rPh sb="94" eb="95">
      <t>キョク</t>
    </rPh>
    <rPh sb="96" eb="98">
      <t>トドケデ</t>
    </rPh>
    <rPh sb="99" eb="100">
      <t>オコナ</t>
    </rPh>
    <rPh sb="101" eb="103">
      <t>ジゼン</t>
    </rPh>
    <rPh sb="104" eb="106">
      <t>キョカ</t>
    </rPh>
    <phoneticPr fontId="1"/>
  </si>
  <si>
    <t>年月日</t>
    <rPh sb="0" eb="3">
      <t>ネンガッピ</t>
    </rPh>
    <phoneticPr fontId="1"/>
  </si>
  <si>
    <t>嘱託</t>
    <rPh sb="0" eb="2">
      <t>ショクタク</t>
    </rPh>
    <phoneticPr fontId="1"/>
  </si>
  <si>
    <t>嘱託等により活用</t>
    <rPh sb="0" eb="2">
      <t>ショクタク</t>
    </rPh>
    <rPh sb="2" eb="3">
      <t>トウ</t>
    </rPh>
    <rPh sb="6" eb="8">
      <t>カツヨウ</t>
    </rPh>
    <phoneticPr fontId="1"/>
  </si>
  <si>
    <t>雇用契約等により配置（様式2及び様式5）</t>
    <rPh sb="0" eb="2">
      <t>コヨウ</t>
    </rPh>
    <rPh sb="2" eb="4">
      <t>ケイヤク</t>
    </rPh>
    <rPh sb="4" eb="5">
      <t>トウ</t>
    </rPh>
    <rPh sb="8" eb="10">
      <t>ハイチ</t>
    </rPh>
    <rPh sb="11" eb="13">
      <t>ヨウシキ</t>
    </rPh>
    <rPh sb="14" eb="15">
      <t>オヨ</t>
    </rPh>
    <rPh sb="16" eb="18">
      <t>ヨウシキ</t>
    </rPh>
    <phoneticPr fontId="1"/>
  </si>
  <si>
    <t>栄養</t>
    <rPh sb="0" eb="2">
      <t>エイヨウ</t>
    </rPh>
    <phoneticPr fontId="1"/>
  </si>
  <si>
    <t>配置</t>
    <rPh sb="0" eb="2">
      <t>ハイチ</t>
    </rPh>
    <phoneticPr fontId="1"/>
  </si>
  <si>
    <t>兼務</t>
    <rPh sb="0" eb="2">
      <t>ケンム</t>
    </rPh>
    <phoneticPr fontId="1"/>
  </si>
  <si>
    <t>嘱託</t>
    <rPh sb="0" eb="2">
      <t>ショクタク</t>
    </rPh>
    <phoneticPr fontId="1"/>
  </si>
  <si>
    <t>(2) (1)を端数処理（※①）</t>
    <rPh sb="8" eb="10">
      <t>ハスウ</t>
    </rPh>
    <rPh sb="10" eb="12">
      <t>ショリ</t>
    </rPh>
    <phoneticPr fontId="1"/>
  </si>
  <si>
    <t>(3) チーム保育加配加算の上限人数（※②）</t>
    <rPh sb="7" eb="9">
      <t>ホイク</t>
    </rPh>
    <rPh sb="9" eb="11">
      <t>カハイ</t>
    </rPh>
    <rPh sb="11" eb="13">
      <t>カサン</t>
    </rPh>
    <rPh sb="14" eb="16">
      <t>ジョウゲン</t>
    </rPh>
    <rPh sb="16" eb="18">
      <t>ニンズウ</t>
    </rPh>
    <phoneticPr fontId="1"/>
  </si>
  <si>
    <t>加算要件
(1～2の適用状況に応じて、適合した配置区分を加算)</t>
    <rPh sb="0" eb="2">
      <t>カサン</t>
    </rPh>
    <rPh sb="2" eb="4">
      <t>ヨウケン</t>
    </rPh>
    <rPh sb="10" eb="12">
      <t>テキヨウ</t>
    </rPh>
    <rPh sb="12" eb="14">
      <t>ジョウキョウ</t>
    </rPh>
    <rPh sb="15" eb="16">
      <t>オウ</t>
    </rPh>
    <rPh sb="19" eb="21">
      <t>テキゴウ</t>
    </rPh>
    <rPh sb="23" eb="25">
      <t>ハイチ</t>
    </rPh>
    <rPh sb="25" eb="27">
      <t>クブン</t>
    </rPh>
    <rPh sb="28" eb="30">
      <t>カサン</t>
    </rPh>
    <phoneticPr fontId="1"/>
  </si>
  <si>
    <t>列1</t>
    <phoneticPr fontId="1"/>
  </si>
  <si>
    <t>ソート②</t>
    <phoneticPr fontId="1"/>
  </si>
  <si>
    <t>カウント</t>
  </si>
  <si>
    <t>月</t>
    <rPh sb="0" eb="1">
      <t>ガツ</t>
    </rPh>
    <phoneticPr fontId="1"/>
  </si>
  <si>
    <t>施設内の調理設備を使用してきめ細かに調理を行っている場合</t>
    <rPh sb="0" eb="2">
      <t>シセツ</t>
    </rPh>
    <rPh sb="2" eb="3">
      <t>ナイ</t>
    </rPh>
    <rPh sb="4" eb="6">
      <t>チョウリ</t>
    </rPh>
    <rPh sb="6" eb="8">
      <t>セツビ</t>
    </rPh>
    <rPh sb="9" eb="11">
      <t>シヨウ</t>
    </rPh>
    <rPh sb="15" eb="16">
      <t>コマ</t>
    </rPh>
    <rPh sb="18" eb="20">
      <t>チョウリ</t>
    </rPh>
    <rPh sb="21" eb="22">
      <t>オコナ</t>
    </rPh>
    <rPh sb="26" eb="28">
      <t>バアイ</t>
    </rPh>
    <phoneticPr fontId="1"/>
  </si>
  <si>
    <t>実施状況</t>
    <rPh sb="0" eb="2">
      <t>ジッシ</t>
    </rPh>
    <rPh sb="2" eb="4">
      <t>ジョウキョウ</t>
    </rPh>
    <phoneticPr fontId="1"/>
  </si>
  <si>
    <t>調理員が施設内調理設備を使用してきめ細かな調理（食材の加工から始まり完成品の提供まで実施）を行い給食を提供している</t>
    <rPh sb="0" eb="3">
      <t>チョウリイン</t>
    </rPh>
    <rPh sb="4" eb="6">
      <t>シセツ</t>
    </rPh>
    <rPh sb="6" eb="7">
      <t>ナイ</t>
    </rPh>
    <rPh sb="7" eb="9">
      <t>チョウリ</t>
    </rPh>
    <rPh sb="9" eb="11">
      <t>セツビ</t>
    </rPh>
    <rPh sb="12" eb="14">
      <t>シヨウ</t>
    </rPh>
    <rPh sb="18" eb="19">
      <t>コマ</t>
    </rPh>
    <rPh sb="21" eb="23">
      <t>チョウリ</t>
    </rPh>
    <rPh sb="24" eb="26">
      <t>ショクザイ</t>
    </rPh>
    <rPh sb="27" eb="29">
      <t>カコウ</t>
    </rPh>
    <rPh sb="31" eb="32">
      <t>ハジ</t>
    </rPh>
    <rPh sb="34" eb="37">
      <t>カンセイヒン</t>
    </rPh>
    <rPh sb="38" eb="40">
      <t>テイキョウ</t>
    </rPh>
    <rPh sb="42" eb="44">
      <t>ジッシ</t>
    </rPh>
    <rPh sb="46" eb="47">
      <t>オコナ</t>
    </rPh>
    <rPh sb="48" eb="50">
      <t>キュウショク</t>
    </rPh>
    <rPh sb="51" eb="53">
      <t>テイキョウ</t>
    </rPh>
    <phoneticPr fontId="1"/>
  </si>
  <si>
    <t>搬入</t>
    <rPh sb="0" eb="2">
      <t>ハンニュウ</t>
    </rPh>
    <phoneticPr fontId="1"/>
  </si>
  <si>
    <t>外部搬入により給食を提供している（食材の加工等をほとんど行わず加温等のみを行っている場合を含む。）</t>
    <rPh sb="0" eb="2">
      <t>ガイブ</t>
    </rPh>
    <rPh sb="2" eb="4">
      <t>ハンニュウ</t>
    </rPh>
    <rPh sb="7" eb="9">
      <t>キュウショク</t>
    </rPh>
    <rPh sb="10" eb="12">
      <t>テイキョウ</t>
    </rPh>
    <rPh sb="17" eb="19">
      <t>ショクザイ</t>
    </rPh>
    <rPh sb="20" eb="22">
      <t>カコウ</t>
    </rPh>
    <rPh sb="22" eb="23">
      <t>トウ</t>
    </rPh>
    <rPh sb="28" eb="29">
      <t>オコナ</t>
    </rPh>
    <rPh sb="31" eb="33">
      <t>カオン</t>
    </rPh>
    <rPh sb="33" eb="34">
      <t>トウ</t>
    </rPh>
    <rPh sb="37" eb="38">
      <t>オコナ</t>
    </rPh>
    <rPh sb="42" eb="44">
      <t>バアイ</t>
    </rPh>
    <rPh sb="45" eb="46">
      <t>フク</t>
    </rPh>
    <phoneticPr fontId="1"/>
  </si>
  <si>
    <t>②　２-イ-(ｲ)を「○」にした場合は、以下の2点を提出すること</t>
    <rPh sb="16" eb="18">
      <t>バアイ</t>
    </rPh>
    <rPh sb="20" eb="22">
      <t>イカ</t>
    </rPh>
    <rPh sb="24" eb="25">
      <t>テン</t>
    </rPh>
    <rPh sb="26" eb="28">
      <t>テイシュツ</t>
    </rPh>
    <phoneticPr fontId="1"/>
  </si>
  <si>
    <t>(2)　外部委託等の実施体制が分かる書類(業務委託契約書、運営要綱・規定等)</t>
    <rPh sb="10" eb="12">
      <t>ジッシ</t>
    </rPh>
    <rPh sb="12" eb="14">
      <t>タイセイ</t>
    </rPh>
    <rPh sb="29" eb="31">
      <t>ウンエイ</t>
    </rPh>
    <rPh sb="31" eb="33">
      <t>ヨウコウ</t>
    </rPh>
    <rPh sb="34" eb="36">
      <t>キテイ</t>
    </rPh>
    <phoneticPr fontId="1"/>
  </si>
  <si>
    <t>(1)　外部委託等調理員が自園で調理を実施している状況が分かる書類(雇用契約書、業務委託契約書等)</t>
    <phoneticPr fontId="1"/>
  </si>
  <si>
    <t>調理を施設内の調理設備で行っている</t>
    <rPh sb="0" eb="2">
      <t>チョウリ</t>
    </rPh>
    <rPh sb="3" eb="5">
      <t>シセツ</t>
    </rPh>
    <rPh sb="5" eb="6">
      <t>ナイ</t>
    </rPh>
    <rPh sb="7" eb="9">
      <t>チョウリ</t>
    </rPh>
    <rPh sb="9" eb="11">
      <t>セツビ</t>
    </rPh>
    <rPh sb="12" eb="13">
      <t>オコナ</t>
    </rPh>
    <phoneticPr fontId="1"/>
  </si>
  <si>
    <t>安全・衛生面、栄養面、食育等の観点から施設の管理者が業務上必要な注意を果たしえるような体制及び契約内容により、調理業務を委託している</t>
    <rPh sb="0" eb="2">
      <t>アンゼン</t>
    </rPh>
    <rPh sb="3" eb="6">
      <t>エイセイメン</t>
    </rPh>
    <rPh sb="7" eb="9">
      <t>エイヨウ</t>
    </rPh>
    <rPh sb="9" eb="10">
      <t>メン</t>
    </rPh>
    <rPh sb="11" eb="13">
      <t>ショクイク</t>
    </rPh>
    <rPh sb="13" eb="14">
      <t>トウ</t>
    </rPh>
    <rPh sb="15" eb="17">
      <t>カンテン</t>
    </rPh>
    <rPh sb="19" eb="21">
      <t>シセツ</t>
    </rPh>
    <rPh sb="22" eb="25">
      <t>カンリシャ</t>
    </rPh>
    <rPh sb="26" eb="29">
      <t>ギョウムジョウ</t>
    </rPh>
    <rPh sb="29" eb="31">
      <t>ヒツヨウ</t>
    </rPh>
    <rPh sb="32" eb="34">
      <t>チュウイ</t>
    </rPh>
    <rPh sb="35" eb="36">
      <t>ハタ</t>
    </rPh>
    <rPh sb="43" eb="45">
      <t>タイセイ</t>
    </rPh>
    <rPh sb="45" eb="46">
      <t>オヨ</t>
    </rPh>
    <rPh sb="47" eb="49">
      <t>ケイヤク</t>
    </rPh>
    <rPh sb="49" eb="51">
      <t>ナイヨウ</t>
    </rPh>
    <rPh sb="55" eb="57">
      <t>チョウリ</t>
    </rPh>
    <rPh sb="57" eb="59">
      <t>ギョウム</t>
    </rPh>
    <rPh sb="60" eb="62">
      <t>イタク</t>
    </rPh>
    <phoneticPr fontId="1"/>
  </si>
  <si>
    <t>ウ</t>
    <phoneticPr fontId="1"/>
  </si>
  <si>
    <t>自園できめ細やかな調理（食材の加工～完成品の提供まで）を行っている</t>
    <rPh sb="0" eb="1">
      <t>ジ</t>
    </rPh>
    <rPh sb="1" eb="2">
      <t>エン</t>
    </rPh>
    <rPh sb="5" eb="6">
      <t>コマ</t>
    </rPh>
    <rPh sb="9" eb="11">
      <t>チョウリ</t>
    </rPh>
    <rPh sb="12" eb="14">
      <t>ショクザイ</t>
    </rPh>
    <rPh sb="15" eb="17">
      <t>カコウ</t>
    </rPh>
    <rPh sb="18" eb="21">
      <t>カンセイヒン</t>
    </rPh>
    <rPh sb="22" eb="24">
      <t>テイキョウ</t>
    </rPh>
    <rPh sb="28" eb="29">
      <t>オコナ</t>
    </rPh>
    <phoneticPr fontId="1"/>
  </si>
  <si>
    <t>施設外で調理して施設に搬入する方法により給食を実施している場合
（搬入後に施設内で喫食温度に加温し提供する場合を含む）</t>
    <rPh sb="0" eb="2">
      <t>シセツ</t>
    </rPh>
    <rPh sb="2" eb="3">
      <t>ガイ</t>
    </rPh>
    <rPh sb="4" eb="6">
      <t>チョウリ</t>
    </rPh>
    <rPh sb="8" eb="10">
      <t>シセツ</t>
    </rPh>
    <rPh sb="11" eb="13">
      <t>ハンニュウ</t>
    </rPh>
    <rPh sb="15" eb="17">
      <t>ホウホウ</t>
    </rPh>
    <rPh sb="20" eb="22">
      <t>キュウショク</t>
    </rPh>
    <rPh sb="23" eb="25">
      <t>ジッシ</t>
    </rPh>
    <rPh sb="29" eb="31">
      <t>バアイ</t>
    </rPh>
    <rPh sb="33" eb="35">
      <t>ハンニュウ</t>
    </rPh>
    <rPh sb="35" eb="36">
      <t>ゴ</t>
    </rPh>
    <rPh sb="37" eb="39">
      <t>シセツ</t>
    </rPh>
    <rPh sb="39" eb="40">
      <t>ナイ</t>
    </rPh>
    <rPh sb="41" eb="43">
      <t>キッショク</t>
    </rPh>
    <rPh sb="43" eb="45">
      <t>オンド</t>
    </rPh>
    <rPh sb="46" eb="48">
      <t>カオン</t>
    </rPh>
    <rPh sb="49" eb="51">
      <t>テイキョウ</t>
    </rPh>
    <rPh sb="53" eb="55">
      <t>バアイ</t>
    </rPh>
    <rPh sb="56" eb="57">
      <t>フク</t>
    </rPh>
    <phoneticPr fontId="1"/>
  </si>
  <si>
    <r>
      <rPr>
        <sz val="10"/>
        <color rgb="FFFF0000"/>
        <rFont val="ＭＳ 明朝"/>
        <family val="1"/>
        <charset val="128"/>
      </rPr>
      <t>1号児童に対し</t>
    </r>
    <r>
      <rPr>
        <sz val="10"/>
        <color theme="1"/>
        <rFont val="ＭＳ 明朝"/>
        <family val="1"/>
        <charset val="128"/>
      </rPr>
      <t>給食を実施している</t>
    </r>
    <rPh sb="1" eb="2">
      <t>ゴウ</t>
    </rPh>
    <rPh sb="2" eb="4">
      <t>ジドウ</t>
    </rPh>
    <rPh sb="5" eb="6">
      <t>タイ</t>
    </rPh>
    <rPh sb="7" eb="9">
      <t>キュウショク</t>
    </rPh>
    <rPh sb="10" eb="12">
      <t>ジッシ</t>
    </rPh>
    <phoneticPr fontId="1"/>
  </si>
  <si>
    <t>整合性</t>
    <rPh sb="0" eb="3">
      <t>セイゴウセイ</t>
    </rPh>
    <phoneticPr fontId="1"/>
  </si>
  <si>
    <t>漏れ</t>
    <rPh sb="0" eb="1">
      <t>モ</t>
    </rPh>
    <phoneticPr fontId="1"/>
  </si>
  <si>
    <t>取得年月日</t>
    <rPh sb="0" eb="2">
      <t>シュトク</t>
    </rPh>
    <rPh sb="2" eb="4">
      <t>ネンゲツ</t>
    </rPh>
    <rPh sb="4" eb="5">
      <t>ニチ</t>
    </rPh>
    <phoneticPr fontId="1"/>
  </si>
  <si>
    <t>別紙2</t>
    <rPh sb="0" eb="2">
      <t>ベッシ</t>
    </rPh>
    <phoneticPr fontId="1"/>
  </si>
  <si>
    <t>各年度の年間平均在所率が120％以上(２年度間継続)</t>
    <rPh sb="0" eb="3">
      <t>カクネンド</t>
    </rPh>
    <rPh sb="4" eb="6">
      <t>ネンカン</t>
    </rPh>
    <rPh sb="6" eb="8">
      <t>ヘイキン</t>
    </rPh>
    <rPh sb="8" eb="10">
      <t>ザイショ</t>
    </rPh>
    <rPh sb="10" eb="11">
      <t>リツ</t>
    </rPh>
    <rPh sb="16" eb="18">
      <t>イジョウ</t>
    </rPh>
    <rPh sb="20" eb="22">
      <t>ネンド</t>
    </rPh>
    <rPh sb="22" eb="23">
      <t>カン</t>
    </rPh>
    <rPh sb="23" eb="25">
      <t>ケイゾク</t>
    </rPh>
    <phoneticPr fontId="1"/>
  </si>
  <si>
    <t>職員配置を充足している(様式5)</t>
    <rPh sb="0" eb="2">
      <t>ショクイン</t>
    </rPh>
    <rPh sb="2" eb="4">
      <t>ハイチ</t>
    </rPh>
    <rPh sb="5" eb="7">
      <t>ジュウソク</t>
    </rPh>
    <rPh sb="12" eb="14">
      <t>ヨウシキ</t>
    </rPh>
    <phoneticPr fontId="1"/>
  </si>
  <si>
    <t>様式4/様式5</t>
    <rPh sb="0" eb="2">
      <t>ヨウシキ</t>
    </rPh>
    <rPh sb="4" eb="6">
      <t>ヨウシキ</t>
    </rPh>
    <phoneticPr fontId="1"/>
  </si>
  <si>
    <t>非常勤講師※を配置し、職員配置を充足している（様式2及び5）</t>
    <rPh sb="0" eb="3">
      <t>ヒジョウキン</t>
    </rPh>
    <rPh sb="3" eb="5">
      <t>コウシ</t>
    </rPh>
    <rPh sb="7" eb="9">
      <t>ハイチ</t>
    </rPh>
    <rPh sb="11" eb="13">
      <t>ショクイン</t>
    </rPh>
    <rPh sb="13" eb="15">
      <t>ハイチ</t>
    </rPh>
    <rPh sb="16" eb="18">
      <t>ジュウソク</t>
    </rPh>
    <rPh sb="23" eb="25">
      <t>ヨウシキ</t>
    </rPh>
    <rPh sb="26" eb="27">
      <t>オヨ</t>
    </rPh>
    <phoneticPr fontId="1"/>
  </si>
  <si>
    <t>施設関係者</t>
    <rPh sb="0" eb="2">
      <t>シセツ</t>
    </rPh>
    <rPh sb="2" eb="5">
      <t>カンケイシャ</t>
    </rPh>
    <phoneticPr fontId="1"/>
  </si>
  <si>
    <t>公開保育</t>
    <rPh sb="0" eb="2">
      <t>コウカイ</t>
    </rPh>
    <rPh sb="2" eb="4">
      <t>ホイク</t>
    </rPh>
    <phoneticPr fontId="1"/>
  </si>
  <si>
    <t>土曜閉所</t>
    <rPh sb="0" eb="2">
      <t>ドヨウ</t>
    </rPh>
    <rPh sb="2" eb="4">
      <t>ヘイショ</t>
    </rPh>
    <phoneticPr fontId="1"/>
  </si>
  <si>
    <t>・　入力する時間は実勤務時間とし、休憩時間は含めないでください。</t>
    <rPh sb="2" eb="4">
      <t>ニュウリョク</t>
    </rPh>
    <rPh sb="6" eb="8">
      <t>ジカン</t>
    </rPh>
    <rPh sb="9" eb="10">
      <t>ジツ</t>
    </rPh>
    <rPh sb="10" eb="12">
      <t>キンム</t>
    </rPh>
    <rPh sb="12" eb="14">
      <t>ジカン</t>
    </rPh>
    <rPh sb="17" eb="19">
      <t>キュウケイ</t>
    </rPh>
    <rPh sb="19" eb="21">
      <t>ジカン</t>
    </rPh>
    <rPh sb="22" eb="23">
      <t>フク</t>
    </rPh>
    <phoneticPr fontId="1"/>
  </si>
  <si>
    <t>※2　他の保育所等との共同保育により、利用希望者の保育を確保・実施した場合は利用児童数に含めること。
　ただし、共同保育により相手施設から受け入れた児童数は含めないこと。</t>
    <rPh sb="3" eb="4">
      <t>タ</t>
    </rPh>
    <rPh sb="5" eb="7">
      <t>ホイク</t>
    </rPh>
    <rPh sb="7" eb="8">
      <t>ショ</t>
    </rPh>
    <rPh sb="8" eb="9">
      <t>トウ</t>
    </rPh>
    <rPh sb="11" eb="13">
      <t>キョウドウ</t>
    </rPh>
    <rPh sb="13" eb="15">
      <t>ホイク</t>
    </rPh>
    <rPh sb="19" eb="21">
      <t>リヨウ</t>
    </rPh>
    <rPh sb="21" eb="24">
      <t>キボウシャ</t>
    </rPh>
    <rPh sb="25" eb="27">
      <t>ホイク</t>
    </rPh>
    <rPh sb="28" eb="30">
      <t>カクホ</t>
    </rPh>
    <rPh sb="31" eb="33">
      <t>ジッシ</t>
    </rPh>
    <rPh sb="35" eb="37">
      <t>バアイ</t>
    </rPh>
    <rPh sb="38" eb="40">
      <t>リヨウ</t>
    </rPh>
    <rPh sb="40" eb="42">
      <t>ジドウ</t>
    </rPh>
    <rPh sb="42" eb="43">
      <t>スウ</t>
    </rPh>
    <rPh sb="44" eb="45">
      <t>フク</t>
    </rPh>
    <rPh sb="56" eb="58">
      <t>キョウドウ</t>
    </rPh>
    <rPh sb="58" eb="60">
      <t>ホイク</t>
    </rPh>
    <rPh sb="63" eb="65">
      <t>アイテ</t>
    </rPh>
    <rPh sb="65" eb="67">
      <t>シセツ</t>
    </rPh>
    <rPh sb="69" eb="70">
      <t>ウ</t>
    </rPh>
    <rPh sb="71" eb="72">
      <t>イ</t>
    </rPh>
    <rPh sb="74" eb="76">
      <t>ジドウ</t>
    </rPh>
    <rPh sb="76" eb="77">
      <t>スウ</t>
    </rPh>
    <rPh sb="78" eb="79">
      <t>フク</t>
    </rPh>
    <phoneticPr fontId="1"/>
  </si>
  <si>
    <t>給食実施加算(1号)の調理員と兼務していない</t>
    <rPh sb="0" eb="2">
      <t>キュウショク</t>
    </rPh>
    <rPh sb="2" eb="4">
      <t>ジッシ</t>
    </rPh>
    <rPh sb="4" eb="6">
      <t>カサン</t>
    </rPh>
    <rPh sb="8" eb="9">
      <t>ゴウ</t>
    </rPh>
    <rPh sb="11" eb="13">
      <t>チョウリ</t>
    </rPh>
    <rPh sb="13" eb="14">
      <t>イン</t>
    </rPh>
    <rPh sb="15" eb="17">
      <t>ケンム</t>
    </rPh>
    <phoneticPr fontId="1"/>
  </si>
  <si>
    <t>資格無(期限切含む)</t>
    <rPh sb="0" eb="2">
      <t>シカク</t>
    </rPh>
    <rPh sb="2" eb="3">
      <t>ナシ</t>
    </rPh>
    <rPh sb="4" eb="6">
      <t>キゲン</t>
    </rPh>
    <rPh sb="6" eb="7">
      <t>キ</t>
    </rPh>
    <rPh sb="7" eb="8">
      <t>フク</t>
    </rPh>
    <phoneticPr fontId="1"/>
  </si>
  <si>
    <r>
      <t>①　１号</t>
    </r>
    <r>
      <rPr>
        <sz val="10"/>
        <color rgb="FFFF0000"/>
        <rFont val="ＭＳ 明朝"/>
        <family val="1"/>
        <charset val="128"/>
      </rPr>
      <t>(一時預かり児童等を除く)</t>
    </r>
    <r>
      <rPr>
        <sz val="10"/>
        <rFont val="ＭＳ 明朝"/>
        <family val="1"/>
        <charset val="128"/>
      </rPr>
      <t>に係る副食を提供する日
②　副食の全てを提供する日（おやつや牛乳のみ等の日は除く）
③　弁当と給食のどちらかを保護者に選択させる日は含む。ただし、給食を希望した保護者全てに提供できる体制をとっている場合に限る。
④　20日/月を超えている場合は20日(右記の上限数内)
⑤　土日祝日の給食日は除く</t>
    </r>
    <rPh sb="3" eb="4">
      <t>ゴウ</t>
    </rPh>
    <rPh sb="5" eb="7">
      <t>イチジ</t>
    </rPh>
    <rPh sb="7" eb="8">
      <t>アズ</t>
    </rPh>
    <rPh sb="10" eb="12">
      <t>ジドウ</t>
    </rPh>
    <rPh sb="12" eb="13">
      <t>トウ</t>
    </rPh>
    <rPh sb="14" eb="15">
      <t>ノゾ</t>
    </rPh>
    <rPh sb="18" eb="19">
      <t>カカ</t>
    </rPh>
    <rPh sb="31" eb="33">
      <t>フクショク</t>
    </rPh>
    <rPh sb="34" eb="35">
      <t>スベ</t>
    </rPh>
    <rPh sb="37" eb="39">
      <t>テイキョウ</t>
    </rPh>
    <rPh sb="41" eb="42">
      <t>ヒ</t>
    </rPh>
    <rPh sb="47" eb="49">
      <t>ギュウニュウ</t>
    </rPh>
    <rPh sb="51" eb="52">
      <t>ナド</t>
    </rPh>
    <rPh sb="53" eb="54">
      <t>ヒ</t>
    </rPh>
    <rPh sb="55" eb="56">
      <t>ノゾ</t>
    </rPh>
    <rPh sb="61" eb="63">
      <t>ベントウ</t>
    </rPh>
    <rPh sb="64" eb="66">
      <t>キュウショク</t>
    </rPh>
    <rPh sb="72" eb="75">
      <t>ホゴシャ</t>
    </rPh>
    <rPh sb="76" eb="78">
      <t>センタク</t>
    </rPh>
    <rPh sb="81" eb="82">
      <t>ヒ</t>
    </rPh>
    <rPh sb="83" eb="84">
      <t>フク</t>
    </rPh>
    <rPh sb="90" eb="92">
      <t>キュウショク</t>
    </rPh>
    <rPh sb="93" eb="95">
      <t>キボウ</t>
    </rPh>
    <rPh sb="97" eb="100">
      <t>ホゴシャ</t>
    </rPh>
    <rPh sb="100" eb="101">
      <t>スベ</t>
    </rPh>
    <rPh sb="103" eb="105">
      <t>テイキョウ</t>
    </rPh>
    <rPh sb="108" eb="110">
      <t>タイセイ</t>
    </rPh>
    <rPh sb="116" eb="118">
      <t>バアイ</t>
    </rPh>
    <rPh sb="119" eb="120">
      <t>カギ</t>
    </rPh>
    <rPh sb="127" eb="128">
      <t>ニチ</t>
    </rPh>
    <rPh sb="129" eb="130">
      <t>ツキ</t>
    </rPh>
    <rPh sb="131" eb="132">
      <t>コ</t>
    </rPh>
    <rPh sb="136" eb="138">
      <t>バアイ</t>
    </rPh>
    <rPh sb="141" eb="142">
      <t>ニチ</t>
    </rPh>
    <rPh sb="143" eb="145">
      <t>ウキ</t>
    </rPh>
    <rPh sb="146" eb="148">
      <t>ジョウゲン</t>
    </rPh>
    <rPh sb="148" eb="149">
      <t>スウ</t>
    </rPh>
    <rPh sb="149" eb="150">
      <t>ナイ</t>
    </rPh>
    <rPh sb="154" eb="156">
      <t>ドニチ</t>
    </rPh>
    <rPh sb="156" eb="157">
      <t>シュク</t>
    </rPh>
    <rPh sb="157" eb="158">
      <t>ジツ</t>
    </rPh>
    <rPh sb="159" eb="161">
      <t>キュウショク</t>
    </rPh>
    <rPh sb="161" eb="162">
      <t>ビ</t>
    </rPh>
    <rPh sb="163" eb="164">
      <t>ノゾ</t>
    </rPh>
    <phoneticPr fontId="1"/>
  </si>
  <si>
    <t>減算(実績)</t>
    <rPh sb="0" eb="2">
      <t>ゲンサン</t>
    </rPh>
    <rPh sb="3" eb="5">
      <t>ジッセキ</t>
    </rPh>
    <phoneticPr fontId="1"/>
  </si>
  <si>
    <t>分園を設置している</t>
    <rPh sb="0" eb="2">
      <t>ブンエン</t>
    </rPh>
    <rPh sb="3" eb="5">
      <t>セッチ</t>
    </rPh>
    <phoneticPr fontId="1"/>
  </si>
  <si>
    <t>　 加算要件
(１～2の要件全てに該当する場合に加算)</t>
    <rPh sb="2" eb="4">
      <t>カサン</t>
    </rPh>
    <rPh sb="4" eb="6">
      <t>ヨウケン</t>
    </rPh>
    <rPh sb="13" eb="15">
      <t>ヨウケン</t>
    </rPh>
    <rPh sb="15" eb="16">
      <t>スベ</t>
    </rPh>
    <rPh sb="18" eb="20">
      <t>ガイトウ</t>
    </rPh>
    <rPh sb="22" eb="24">
      <t>バアイ</t>
    </rPh>
    <rPh sb="25" eb="27">
      <t>カサン</t>
    </rPh>
    <phoneticPr fontId="1"/>
  </si>
  <si>
    <t>「保育所型認定こども園」又は「分園を設置した保育所から移行した幼保連携型認定こども園」である。</t>
    <rPh sb="1" eb="3">
      <t>ホイク</t>
    </rPh>
    <rPh sb="3" eb="4">
      <t>ショ</t>
    </rPh>
    <rPh sb="4" eb="5">
      <t>ガタ</t>
    </rPh>
    <rPh sb="5" eb="7">
      <t>ニンテイ</t>
    </rPh>
    <rPh sb="10" eb="11">
      <t>エン</t>
    </rPh>
    <rPh sb="12" eb="13">
      <t>マタ</t>
    </rPh>
    <rPh sb="27" eb="29">
      <t>イコウ</t>
    </rPh>
    <phoneticPr fontId="1"/>
  </si>
  <si>
    <t>施設種別</t>
    <rPh sb="0" eb="2">
      <t>シセツ</t>
    </rPh>
    <rPh sb="2" eb="4">
      <t>シュベツ</t>
    </rPh>
    <phoneticPr fontId="1"/>
  </si>
  <si>
    <t>土・祝・休日</t>
    <rPh sb="0" eb="1">
      <t>ド</t>
    </rPh>
    <rPh sb="2" eb="3">
      <t>シュク</t>
    </rPh>
    <rPh sb="4" eb="6">
      <t>キュウジツ</t>
    </rPh>
    <phoneticPr fontId="1"/>
  </si>
  <si>
    <t>別紙1（「加算：副園長・教頭配置加算」の添付書類）</t>
    <rPh sb="0" eb="2">
      <t>ベッシ</t>
    </rPh>
    <rPh sb="5" eb="7">
      <t>カサン</t>
    </rPh>
    <rPh sb="8" eb="9">
      <t>フク</t>
    </rPh>
    <rPh sb="9" eb="11">
      <t>エンチョウ</t>
    </rPh>
    <rPh sb="12" eb="14">
      <t>キョウトウ</t>
    </rPh>
    <rPh sb="14" eb="16">
      <t>ハイチ</t>
    </rPh>
    <rPh sb="16" eb="18">
      <t>カサン</t>
    </rPh>
    <rPh sb="20" eb="22">
      <t>テンプ</t>
    </rPh>
    <rPh sb="22" eb="24">
      <t>ショルイ</t>
    </rPh>
    <phoneticPr fontId="1"/>
  </si>
  <si>
    <t>日</t>
    <rPh sb="0" eb="1">
      <t>ニチ</t>
    </rPh>
    <phoneticPr fontId="3"/>
  </si>
  <si>
    <t>休日保育を今年度初めて実施する場合は○を選択すること➡</t>
    <rPh sb="0" eb="2">
      <t>キュウジツ</t>
    </rPh>
    <rPh sb="2" eb="4">
      <t>ホイク</t>
    </rPh>
    <rPh sb="5" eb="8">
      <t>コンネンド</t>
    </rPh>
    <rPh sb="8" eb="9">
      <t>ハジ</t>
    </rPh>
    <rPh sb="11" eb="13">
      <t>ジッシ</t>
    </rPh>
    <rPh sb="15" eb="17">
      <t>バアイ</t>
    </rPh>
    <rPh sb="20" eb="22">
      <t>センタク</t>
    </rPh>
    <phoneticPr fontId="1"/>
  </si>
  <si>
    <t>通園バス運行開始日</t>
    <rPh sb="0" eb="2">
      <t>ツウエン</t>
    </rPh>
    <rPh sb="4" eb="6">
      <t>ウンコウ</t>
    </rPh>
    <rPh sb="6" eb="8">
      <t>カイシ</t>
    </rPh>
    <rPh sb="8" eb="9">
      <t>ビ</t>
    </rPh>
    <phoneticPr fontId="1"/>
  </si>
  <si>
    <t>通園バス運行終了日</t>
    <rPh sb="0" eb="2">
      <t>ツウエン</t>
    </rPh>
    <rPh sb="4" eb="6">
      <t>ウンコウ</t>
    </rPh>
    <rPh sb="6" eb="8">
      <t>シュウリョウ</t>
    </rPh>
    <rPh sb="8" eb="9">
      <t>ビ</t>
    </rPh>
    <phoneticPr fontId="1"/>
  </si>
  <si>
    <t>日</t>
    <rPh sb="0" eb="1">
      <t>ニチ</t>
    </rPh>
    <phoneticPr fontId="1"/>
  </si>
  <si>
    <t>延べ人数（人）</t>
    <rPh sb="0" eb="1">
      <t>ノ</t>
    </rPh>
    <rPh sb="2" eb="4">
      <t>ニンズウ</t>
    </rPh>
    <rPh sb="5" eb="6">
      <t>ニン</t>
    </rPh>
    <phoneticPr fontId="1"/>
  </si>
  <si>
    <t>入力判定</t>
    <rPh sb="0" eb="2">
      <t>ニュウリョク</t>
    </rPh>
    <rPh sb="2" eb="4">
      <t>ハンテイ</t>
    </rPh>
    <phoneticPr fontId="1"/>
  </si>
  <si>
    <t>入力値</t>
    <rPh sb="0" eb="3">
      <t>ニュウリョクチ</t>
    </rPh>
    <phoneticPr fontId="1"/>
  </si>
  <si>
    <t>初日</t>
    <rPh sb="0" eb="2">
      <t>ショニチ</t>
    </rPh>
    <phoneticPr fontId="1"/>
  </si>
  <si>
    <t>末</t>
    <rPh sb="0" eb="1">
      <t>マツ</t>
    </rPh>
    <phoneticPr fontId="1"/>
  </si>
  <si>
    <t>修業日</t>
    <rPh sb="0" eb="2">
      <t>シュウギョウ</t>
    </rPh>
    <rPh sb="2" eb="3">
      <t>ビ</t>
    </rPh>
    <phoneticPr fontId="3"/>
  </si>
  <si>
    <t>給食日</t>
    <rPh sb="0" eb="2">
      <t>キュウショク</t>
    </rPh>
    <rPh sb="2" eb="3">
      <t>ビ</t>
    </rPh>
    <phoneticPr fontId="3"/>
  </si>
  <si>
    <r>
      <t>　毎月分提出する必要があります。また、前月実績の区分が変更となった場合は、</t>
    </r>
    <r>
      <rPr>
        <b/>
        <u/>
        <sz val="10"/>
        <color rgb="FFFF0000"/>
        <rFont val="ＭＳ 明朝"/>
        <family val="1"/>
        <charset val="128"/>
      </rPr>
      <t>前月に遡及して減算を適用</t>
    </r>
    <r>
      <rPr>
        <sz val="10"/>
        <color rgb="FFFF0000"/>
        <rFont val="ＭＳ 明朝"/>
        <family val="1"/>
        <charset val="128"/>
      </rPr>
      <t>します。</t>
    </r>
    <rPh sb="19" eb="21">
      <t>ゼンゲツ</t>
    </rPh>
    <rPh sb="37" eb="39">
      <t>ゼンゲツ</t>
    </rPh>
    <phoneticPr fontId="1"/>
  </si>
  <si>
    <t>特例※5</t>
    <rPh sb="0" eb="2">
      <t>トクレイ</t>
    </rPh>
    <phoneticPr fontId="1"/>
  </si>
  <si>
    <t>→</t>
    <phoneticPr fontId="1"/>
  </si>
  <si>
    <t>※1　利用児童について、延長保育、一時保育を含めないこと。</t>
    <rPh sb="3" eb="5">
      <t>リヨウ</t>
    </rPh>
    <rPh sb="5" eb="7">
      <t>ジドウ</t>
    </rPh>
    <rPh sb="12" eb="14">
      <t>エンチョウ</t>
    </rPh>
    <rPh sb="14" eb="16">
      <t>ホイク</t>
    </rPh>
    <rPh sb="17" eb="19">
      <t>イチジ</t>
    </rPh>
    <rPh sb="19" eb="21">
      <t>ホイク</t>
    </rPh>
    <rPh sb="22" eb="23">
      <t>フク</t>
    </rPh>
    <phoneticPr fontId="1"/>
  </si>
  <si>
    <t>※4　年末年始の閉園日（12/29～31、1/2～3）に土曜日が含まれる場合は祝日扱いとします。</t>
    <rPh sb="3" eb="7">
      <t>ネンマツネンシ</t>
    </rPh>
    <rPh sb="8" eb="11">
      <t>ヘイエンビ</t>
    </rPh>
    <rPh sb="28" eb="31">
      <t>ドヨウビ</t>
    </rPh>
    <rPh sb="32" eb="33">
      <t>フク</t>
    </rPh>
    <rPh sb="36" eb="38">
      <t>バアイ</t>
    </rPh>
    <rPh sb="39" eb="42">
      <t>シュクジツアツカ</t>
    </rPh>
    <phoneticPr fontId="1"/>
  </si>
  <si>
    <t>※5　新型コロナ感染症の影響により休園した場合は「○」を選択すること。なお、常時土曜日を閉所している施設は選択しないこと。</t>
    <rPh sb="3" eb="5">
      <t>シンガタ</t>
    </rPh>
    <rPh sb="8" eb="11">
      <t>カンセンショウ</t>
    </rPh>
    <rPh sb="12" eb="14">
      <t>エイキョウ</t>
    </rPh>
    <rPh sb="17" eb="19">
      <t>キュウエン</t>
    </rPh>
    <rPh sb="21" eb="23">
      <t>バアイ</t>
    </rPh>
    <rPh sb="28" eb="30">
      <t>センタク</t>
    </rPh>
    <rPh sb="38" eb="40">
      <t>ジョウジ</t>
    </rPh>
    <rPh sb="40" eb="43">
      <t>ドヨウビ</t>
    </rPh>
    <rPh sb="44" eb="46">
      <t>ヘイショ</t>
    </rPh>
    <rPh sb="50" eb="52">
      <t>シセツ</t>
    </rPh>
    <rPh sb="53" eb="55">
      <t>センタク</t>
    </rPh>
    <phoneticPr fontId="1"/>
  </si>
  <si>
    <t>時</t>
    <rPh sb="0" eb="1">
      <t>ジ</t>
    </rPh>
    <phoneticPr fontId="1"/>
  </si>
  <si>
    <t>分</t>
    <rPh sb="0" eb="1">
      <t>フン</t>
    </rPh>
    <phoneticPr fontId="1"/>
  </si>
  <si>
    <t>料金単位</t>
    <rPh sb="0" eb="2">
      <t>リョウキン</t>
    </rPh>
    <rPh sb="2" eb="4">
      <t>タンイ</t>
    </rPh>
    <phoneticPr fontId="1"/>
  </si>
  <si>
    <t>体制</t>
    <rPh sb="0" eb="2">
      <t>タイセイ</t>
    </rPh>
    <phoneticPr fontId="1"/>
  </si>
  <si>
    <t>給与</t>
    <rPh sb="0" eb="2">
      <t>キュウヨ</t>
    </rPh>
    <phoneticPr fontId="1"/>
  </si>
  <si>
    <t>回答</t>
    <rPh sb="0" eb="2">
      <t>カイトウ</t>
    </rPh>
    <phoneticPr fontId="1"/>
  </si>
  <si>
    <t>実施している</t>
    <rPh sb="0" eb="2">
      <t>ジッシ</t>
    </rPh>
    <phoneticPr fontId="1"/>
  </si>
  <si>
    <t>１時間当たり</t>
    <rPh sb="1" eb="4">
      <t>ジカンア</t>
    </rPh>
    <phoneticPr fontId="1"/>
  </si>
  <si>
    <t>平日勤務の職員によるシフト制</t>
    <rPh sb="0" eb="2">
      <t>ヘイジツ</t>
    </rPh>
    <rPh sb="2" eb="4">
      <t>キンム</t>
    </rPh>
    <rPh sb="5" eb="7">
      <t>ショクイン</t>
    </rPh>
    <rPh sb="13" eb="14">
      <t>セイ</t>
    </rPh>
    <phoneticPr fontId="1"/>
  </si>
  <si>
    <t>全て通常給与</t>
    <rPh sb="0" eb="1">
      <t>スベ</t>
    </rPh>
    <rPh sb="2" eb="6">
      <t>ツウジョウキュウヨ</t>
    </rPh>
    <phoneticPr fontId="1"/>
  </si>
  <si>
    <t>はい</t>
    <phoneticPr fontId="1"/>
  </si>
  <si>
    <t>実施計画</t>
    <rPh sb="0" eb="4">
      <t>ジッシケイカク</t>
    </rPh>
    <phoneticPr fontId="1"/>
  </si>
  <si>
    <t>実施していない</t>
    <rPh sb="0" eb="2">
      <t>ジッシ</t>
    </rPh>
    <phoneticPr fontId="1"/>
  </si>
  <si>
    <t>１日当たり</t>
    <rPh sb="1" eb="3">
      <t>ニチア</t>
    </rPh>
    <phoneticPr fontId="1"/>
  </si>
  <si>
    <t>休日保育専従職員配置</t>
    <rPh sb="0" eb="4">
      <t>キュウジツホイク</t>
    </rPh>
    <rPh sb="4" eb="6">
      <t>センジュウ</t>
    </rPh>
    <rPh sb="6" eb="8">
      <t>ショクイン</t>
    </rPh>
    <rPh sb="8" eb="10">
      <t>ハイチ</t>
    </rPh>
    <phoneticPr fontId="1"/>
  </si>
  <si>
    <t>全て超過勤務</t>
    <rPh sb="0" eb="1">
      <t>スベ</t>
    </rPh>
    <rPh sb="2" eb="6">
      <t>チョウカキンム</t>
    </rPh>
    <phoneticPr fontId="1"/>
  </si>
  <si>
    <t>いいえ</t>
    <phoneticPr fontId="1"/>
  </si>
  <si>
    <t>No.</t>
    <phoneticPr fontId="1"/>
  </si>
  <si>
    <t>内容</t>
    <rPh sb="0" eb="2">
      <t>ナイヨウ</t>
    </rPh>
    <phoneticPr fontId="1"/>
  </si>
  <si>
    <t>１月当たり</t>
    <rPh sb="1" eb="3">
      <t>ツキア</t>
    </rPh>
    <phoneticPr fontId="1"/>
  </si>
  <si>
    <t>通常給与と超過勤務の混合</t>
    <rPh sb="0" eb="4">
      <t>ツウジョウキュウヨ</t>
    </rPh>
    <rPh sb="5" eb="9">
      <t>チョウカキンム</t>
    </rPh>
    <rPh sb="10" eb="12">
      <t>コンゴウ</t>
    </rPh>
    <phoneticPr fontId="1"/>
  </si>
  <si>
    <t>実施日</t>
    <rPh sb="0" eb="3">
      <t>ジッシビ</t>
    </rPh>
    <phoneticPr fontId="1"/>
  </si>
  <si>
    <t>日曜日、祝日</t>
    <rPh sb="0" eb="2">
      <t>ニチヨウ</t>
    </rPh>
    <rPh sb="2" eb="3">
      <t>ビ</t>
    </rPh>
    <rPh sb="4" eb="6">
      <t>シュクジツ</t>
    </rPh>
    <phoneticPr fontId="1"/>
  </si>
  <si>
    <t>その他（　）</t>
    <rPh sb="2" eb="3">
      <t>タ</t>
    </rPh>
    <phoneticPr fontId="1"/>
  </si>
  <si>
    <t>時間帯</t>
    <rPh sb="0" eb="3">
      <t>ジカンタイ</t>
    </rPh>
    <phoneticPr fontId="1"/>
  </si>
  <si>
    <t>標準時間</t>
    <rPh sb="0" eb="2">
      <t>ヒョウジュン</t>
    </rPh>
    <rPh sb="2" eb="4">
      <t>ジカン</t>
    </rPh>
    <phoneticPr fontId="1"/>
  </si>
  <si>
    <t>～</t>
    <phoneticPr fontId="1"/>
  </si>
  <si>
    <t>短時間</t>
    <rPh sb="0" eb="3">
      <t>タンジカン</t>
    </rPh>
    <phoneticPr fontId="1"/>
  </si>
  <si>
    <t>利用児童数</t>
    <rPh sb="0" eb="2">
      <t>リヨウ</t>
    </rPh>
    <rPh sb="2" eb="5">
      <t>ジドウスウ</t>
    </rPh>
    <phoneticPr fontId="1"/>
  </si>
  <si>
    <t>実施</t>
    <rPh sb="0" eb="2">
      <t>ジッシ</t>
    </rPh>
    <phoneticPr fontId="1"/>
  </si>
  <si>
    <t>料金</t>
    <rPh sb="0" eb="2">
      <t>リョウキン</t>
    </rPh>
    <phoneticPr fontId="1"/>
  </si>
  <si>
    <t>円/食</t>
    <rPh sb="0" eb="1">
      <t>エン</t>
    </rPh>
    <rPh sb="2" eb="3">
      <t>ショク</t>
    </rPh>
    <phoneticPr fontId="1"/>
  </si>
  <si>
    <t>単位</t>
    <rPh sb="0" eb="2">
      <t>タンイ</t>
    </rPh>
    <phoneticPr fontId="1"/>
  </si>
  <si>
    <t>金額</t>
    <rPh sb="0" eb="2">
      <t>キンガク</t>
    </rPh>
    <phoneticPr fontId="1"/>
  </si>
  <si>
    <t>円</t>
    <rPh sb="0" eb="1">
      <t>エン</t>
    </rPh>
    <phoneticPr fontId="1"/>
  </si>
  <si>
    <t>職員体制</t>
    <rPh sb="0" eb="4">
      <t>ショクインタイセイ</t>
    </rPh>
    <phoneticPr fontId="1"/>
  </si>
  <si>
    <t>給与区分</t>
    <rPh sb="0" eb="2">
      <t>キュウヨ</t>
    </rPh>
    <rPh sb="2" eb="4">
      <t>クブン</t>
    </rPh>
    <phoneticPr fontId="1"/>
  </si>
  <si>
    <t>必要保育士数について</t>
    <rPh sb="0" eb="6">
      <t>ヒツヨウホイクシスウ</t>
    </rPh>
    <phoneticPr fontId="1"/>
  </si>
  <si>
    <t>確認事項</t>
    <rPh sb="0" eb="4">
      <t>カクニンジコウ</t>
    </rPh>
    <phoneticPr fontId="1"/>
  </si>
  <si>
    <t>常時2名以上を配置している</t>
    <rPh sb="0" eb="2">
      <t>ジョウジ</t>
    </rPh>
    <rPh sb="3" eb="6">
      <t>メイイジョウ</t>
    </rPh>
    <rPh sb="7" eb="9">
      <t>ハイチ</t>
    </rPh>
    <phoneticPr fontId="1"/>
  </si>
  <si>
    <t>児童福祉施設設備運営基準第33条第２項及び附則第94条から第97条、児童福祉施設最低基準の一部を改正する省令附則第２条の規定を確認している</t>
    <phoneticPr fontId="1"/>
  </si>
  <si>
    <t>月当たりの超過勤務対応時間</t>
    <rPh sb="0" eb="2">
      <t>ツキア</t>
    </rPh>
    <rPh sb="5" eb="9">
      <t>チョウカキンム</t>
    </rPh>
    <rPh sb="9" eb="11">
      <t>タイオウ</t>
    </rPh>
    <rPh sb="11" eb="13">
      <t>ジカン</t>
    </rPh>
    <phoneticPr fontId="1"/>
  </si>
  <si>
    <t>申出者</t>
    <rPh sb="0" eb="2">
      <t>モウシデ</t>
    </rPh>
    <rPh sb="2" eb="3">
      <t>ャ</t>
    </rPh>
    <phoneticPr fontId="1"/>
  </si>
  <si>
    <t>法人名</t>
    <rPh sb="0" eb="3">
      <t>ホウジンメイ</t>
    </rPh>
    <phoneticPr fontId="1"/>
  </si>
  <si>
    <t>代表者</t>
    <rPh sb="0" eb="3">
      <t>ダイヒョウシャ</t>
    </rPh>
    <phoneticPr fontId="1"/>
  </si>
  <si>
    <t>２・３号利用定員の恒常的な超過の解消に関する申出書</t>
    <phoneticPr fontId="1"/>
  </si>
  <si>
    <t>記</t>
    <rPh sb="0" eb="1">
      <t>キ</t>
    </rPh>
    <phoneticPr fontId="1"/>
  </si>
  <si>
    <t>１　施設名</t>
    <rPh sb="2" eb="5">
      <t>シセツメイ</t>
    </rPh>
    <phoneticPr fontId="1"/>
  </si>
  <si>
    <t>(1) 定員</t>
    <rPh sb="4" eb="6">
      <t>テイイン</t>
    </rPh>
    <phoneticPr fontId="1"/>
  </si>
  <si>
    <t>(2) 利用初日児童数（予定）</t>
    <rPh sb="4" eb="6">
      <t>リヨウ</t>
    </rPh>
    <rPh sb="6" eb="8">
      <t>ショニチ</t>
    </rPh>
    <rPh sb="8" eb="10">
      <t>ジドウ</t>
    </rPh>
    <rPh sb="10" eb="11">
      <t>スウ</t>
    </rPh>
    <rPh sb="12" eb="14">
      <t>ヨテイ</t>
    </rPh>
    <phoneticPr fontId="1"/>
  </si>
  <si>
    <t>　以下のとおり年間平均在所率が越えることが無いように保育を提供いたします。</t>
    <rPh sb="1" eb="3">
      <t>イカ</t>
    </rPh>
    <rPh sb="7" eb="9">
      <t>ネンカン</t>
    </rPh>
    <rPh sb="9" eb="11">
      <t>ヘイキン</t>
    </rPh>
    <rPh sb="11" eb="13">
      <t>ザイショリ</t>
    </rPh>
    <rPh sb="13" eb="14">
      <t>リツ</t>
    </rPh>
    <rPh sb="15" eb="16">
      <t>コ</t>
    </rPh>
    <rPh sb="21" eb="22">
      <t>ナ</t>
    </rPh>
    <rPh sb="26" eb="28">
      <t>ホイク</t>
    </rPh>
    <rPh sb="29" eb="31">
      <t>テイキョウ</t>
    </rPh>
    <phoneticPr fontId="1"/>
  </si>
  <si>
    <t>定員</t>
    <rPh sb="0" eb="2">
      <t>テイイン</t>
    </rPh>
    <phoneticPr fontId="1"/>
  </si>
  <si>
    <t>利用児童数</t>
    <rPh sb="0" eb="5">
      <t>リヨウジドウスウ</t>
    </rPh>
    <phoneticPr fontId="1"/>
  </si>
  <si>
    <t>超過</t>
    <rPh sb="0" eb="2">
      <t>チョウカ</t>
    </rPh>
    <phoneticPr fontId="1"/>
  </si>
  <si>
    <t>平均在所率</t>
    <rPh sb="0" eb="5">
      <t>ヘイキンザイショリツ</t>
    </rPh>
    <phoneticPr fontId="1"/>
  </si>
  <si>
    <t>２・３号利用定員の恒常的な超過の解消に関する実績報告書</t>
    <rPh sb="22" eb="27">
      <t>ジッセキホウコクショ</t>
    </rPh>
    <phoneticPr fontId="1"/>
  </si>
  <si>
    <t>(2) 利用初日児童数(実績)</t>
    <rPh sb="4" eb="6">
      <t>リヨウ</t>
    </rPh>
    <rPh sb="6" eb="8">
      <t>ショニチ</t>
    </rPh>
    <rPh sb="8" eb="10">
      <t>ジドウ</t>
    </rPh>
    <rPh sb="10" eb="11">
      <t>スウ</t>
    </rPh>
    <rPh sb="12" eb="14">
      <t>ジッセキ</t>
    </rPh>
    <phoneticPr fontId="1"/>
  </si>
  <si>
    <t>　下記のとおりの実績となっております。</t>
    <rPh sb="1" eb="3">
      <t>カキ</t>
    </rPh>
    <rPh sb="8" eb="10">
      <t>ジッセキ</t>
    </rPh>
    <phoneticPr fontId="1"/>
  </si>
  <si>
    <t>【様式2】</t>
    <rPh sb="1" eb="3">
      <t>ヨウシキ</t>
    </rPh>
    <phoneticPr fontId="1"/>
  </si>
  <si>
    <t>常勤職員１人の勤務時間数/月</t>
    <phoneticPr fontId="1"/>
  </si>
  <si>
    <t>　就業規則等で定める常勤職員１人の１か月の所定労働時間(休憩時間を含まない。)を記載すること。ただし、150時間未満の場合は根拠・理由を記載すること。</t>
    <phoneticPr fontId="1"/>
  </si>
  <si>
    <t>時間/月</t>
    <rPh sb="0" eb="2">
      <t>ジカン</t>
    </rPh>
    <rPh sb="3" eb="4">
      <t>ツキ</t>
    </rPh>
    <phoneticPr fontId="1"/>
  </si>
  <si>
    <t>職員数（札幌市確認用）</t>
    <rPh sb="0" eb="3">
      <t>ショクインスウ</t>
    </rPh>
    <rPh sb="4" eb="10">
      <t>サッポロシカクニンヨウ</t>
    </rPh>
    <phoneticPr fontId="1"/>
  </si>
  <si>
    <t>常勤換算数</t>
    <rPh sb="0" eb="5">
      <t>ジョウキンカンサンスウ</t>
    </rPh>
    <phoneticPr fontId="1"/>
  </si>
  <si>
    <t>非常勤※</t>
    <rPh sb="0" eb="3">
      <t>ヒジョウキン</t>
    </rPh>
    <phoneticPr fontId="1"/>
  </si>
  <si>
    <t>計
（常勤＋非常勤）</t>
    <rPh sb="0" eb="1">
      <t>ケイ</t>
    </rPh>
    <rPh sb="3" eb="5">
      <t>ジョウキン</t>
    </rPh>
    <rPh sb="6" eb="9">
      <t>ヒジョウキン</t>
    </rPh>
    <phoneticPr fontId="1"/>
  </si>
  <si>
    <t>勤務時間</t>
    <rPh sb="0" eb="4">
      <t>キンムジカン</t>
    </rPh>
    <phoneticPr fontId="1"/>
  </si>
  <si>
    <t>施設長</t>
    <rPh sb="0" eb="3">
      <t>シセツチョウ</t>
    </rPh>
    <phoneticPr fontId="1"/>
  </si>
  <si>
    <t>事務員</t>
    <rPh sb="0" eb="3">
      <t>ジムイン</t>
    </rPh>
    <phoneticPr fontId="1"/>
  </si>
  <si>
    <t>※　非常勤に委託を含む。</t>
    <rPh sb="2" eb="5">
      <t>ヒジョウキン</t>
    </rPh>
    <rPh sb="6" eb="8">
      <t>イタク</t>
    </rPh>
    <rPh sb="9" eb="10">
      <t>フク</t>
    </rPh>
    <phoneticPr fontId="1"/>
  </si>
  <si>
    <t>&lt;職員名簿&gt;</t>
    <rPh sb="1" eb="3">
      <t>ショクイン</t>
    </rPh>
    <rPh sb="3" eb="5">
      <t>メイボ</t>
    </rPh>
    <phoneticPr fontId="1"/>
  </si>
  <si>
    <t>①　職員氏名/委託先：「業務委託」➡委託先会社名／「雇用職員」➡職員氏名　を誤りなく記載してください。</t>
    <rPh sb="2" eb="4">
      <t>ショクイン</t>
    </rPh>
    <rPh sb="4" eb="6">
      <t>シメイ</t>
    </rPh>
    <rPh sb="7" eb="10">
      <t>イタクサキ</t>
    </rPh>
    <rPh sb="12" eb="16">
      <t>ギョウムイタク</t>
    </rPh>
    <rPh sb="18" eb="24">
      <t>イタクサキカイシャメイ</t>
    </rPh>
    <rPh sb="26" eb="30">
      <t>コヨウショクイン</t>
    </rPh>
    <rPh sb="32" eb="34">
      <t>ショクイン</t>
    </rPh>
    <rPh sb="34" eb="36">
      <t>シメイ</t>
    </rPh>
    <rPh sb="38" eb="39">
      <t>アヤマ</t>
    </rPh>
    <rPh sb="42" eb="44">
      <t>キサイ</t>
    </rPh>
    <phoneticPr fontId="1"/>
  </si>
  <si>
    <t>●　業務委託</t>
    <rPh sb="2" eb="6">
      <t>ギョウムイタク</t>
    </rPh>
    <phoneticPr fontId="1"/>
  </si>
  <si>
    <t>カウント</t>
    <phoneticPr fontId="1"/>
  </si>
  <si>
    <t>エラー</t>
    <phoneticPr fontId="1"/>
  </si>
  <si>
    <t>通常教育</t>
    <rPh sb="0" eb="2">
      <t>ツウジョウ</t>
    </rPh>
    <rPh sb="2" eb="4">
      <t>キョウイク</t>
    </rPh>
    <phoneticPr fontId="1"/>
  </si>
  <si>
    <t>リスト（状況に応じて更新）</t>
    <rPh sb="4" eb="6">
      <t>ジョウキョウ</t>
    </rPh>
    <rPh sb="7" eb="8">
      <t>オウ</t>
    </rPh>
    <rPh sb="10" eb="12">
      <t>コウシン</t>
    </rPh>
    <phoneticPr fontId="1"/>
  </si>
  <si>
    <t>参入</t>
    <rPh sb="0" eb="2">
      <t>サンニュウ</t>
    </rPh>
    <phoneticPr fontId="1"/>
  </si>
  <si>
    <t>保育士代用</t>
    <rPh sb="0" eb="5">
      <t>ホイクシダイヨウ</t>
    </rPh>
    <phoneticPr fontId="1"/>
  </si>
  <si>
    <t>委託</t>
    <rPh sb="0" eb="2">
      <t>イタク</t>
    </rPh>
    <phoneticPr fontId="1"/>
  </si>
  <si>
    <t>職種区分</t>
    <rPh sb="0" eb="4">
      <t>ショクシュクブン</t>
    </rPh>
    <phoneticPr fontId="1"/>
  </si>
  <si>
    <t>初日時点の契約状況</t>
    <rPh sb="0" eb="4">
      <t>ショニチジテン</t>
    </rPh>
    <rPh sb="5" eb="9">
      <t>ケイヤクジョウキョウ</t>
    </rPh>
    <phoneticPr fontId="1"/>
  </si>
  <si>
    <t>雇用開始日</t>
    <rPh sb="0" eb="5">
      <t>コヨウカイシビ</t>
    </rPh>
    <phoneticPr fontId="1"/>
  </si>
  <si>
    <t>①　委託先</t>
    <rPh sb="2" eb="5">
      <t>イタクサキ</t>
    </rPh>
    <phoneticPr fontId="3"/>
  </si>
  <si>
    <t>③形態</t>
    <rPh sb="1" eb="3">
      <t>ケイタイ</t>
    </rPh>
    <phoneticPr fontId="3"/>
  </si>
  <si>
    <t>④契約開始日</t>
    <rPh sb="1" eb="3">
      <t>ケイヤク</t>
    </rPh>
    <rPh sb="3" eb="5">
      <t>カイシ</t>
    </rPh>
    <rPh sb="5" eb="6">
      <t>ビ</t>
    </rPh>
    <phoneticPr fontId="1"/>
  </si>
  <si>
    <t>算入区分</t>
    <rPh sb="0" eb="2">
      <t>サンニュウ</t>
    </rPh>
    <rPh sb="2" eb="4">
      <t>クブン</t>
    </rPh>
    <phoneticPr fontId="1"/>
  </si>
  <si>
    <t>委託先会社名</t>
    <rPh sb="0" eb="5">
      <t>イタクサキカイシャ</t>
    </rPh>
    <rPh sb="5" eb="6">
      <t>メイ</t>
    </rPh>
    <phoneticPr fontId="1"/>
  </si>
  <si>
    <t>初日時点の契約状況</t>
    <rPh sb="0" eb="2">
      <t>ショニチ</t>
    </rPh>
    <rPh sb="2" eb="4">
      <t>ジテン</t>
    </rPh>
    <rPh sb="5" eb="7">
      <t>ケイヤク</t>
    </rPh>
    <rPh sb="7" eb="9">
      <t>ジョウキョウ</t>
    </rPh>
    <phoneticPr fontId="1"/>
  </si>
  <si>
    <t>-</t>
    <phoneticPr fontId="1"/>
  </si>
  <si>
    <t>-</t>
    <phoneticPr fontId="1"/>
  </si>
  <si>
    <t>勤務時間/月</t>
    <phoneticPr fontId="1"/>
  </si>
  <si>
    <t>常勤-時短/兼務</t>
    <rPh sb="0" eb="2">
      <t>ジョウキン</t>
    </rPh>
    <rPh sb="3" eb="5">
      <t>ジタン</t>
    </rPh>
    <rPh sb="6" eb="8">
      <t>ケンム</t>
    </rPh>
    <phoneticPr fontId="1"/>
  </si>
  <si>
    <t>保育士</t>
    <rPh sb="0" eb="3">
      <t>ホイクシ</t>
    </rPh>
    <phoneticPr fontId="1"/>
  </si>
  <si>
    <t>有給（他法活用）</t>
    <rPh sb="0" eb="2">
      <t>ユウキュウ</t>
    </rPh>
    <rPh sb="3" eb="7">
      <t>タホウカツヨウ</t>
    </rPh>
    <phoneticPr fontId="1"/>
  </si>
  <si>
    <t>雇用契約</t>
    <rPh sb="0" eb="2">
      <t>コヨウ</t>
    </rPh>
    <rPh sb="2" eb="4">
      <t>ケイヤク</t>
    </rPh>
    <phoneticPr fontId="1"/>
  </si>
  <si>
    <t>派遣契約</t>
    <rPh sb="0" eb="2">
      <t>ハケン</t>
    </rPh>
    <rPh sb="2" eb="4">
      <t>ケイヤク</t>
    </rPh>
    <phoneticPr fontId="1"/>
  </si>
  <si>
    <t>派遣契約</t>
    <rPh sb="0" eb="4">
      <t>ハケンケイヤク</t>
    </rPh>
    <phoneticPr fontId="1"/>
  </si>
  <si>
    <t>嘱託契約</t>
    <rPh sb="0" eb="4">
      <t>ショクタクケイヤク</t>
    </rPh>
    <phoneticPr fontId="1"/>
  </si>
  <si>
    <t>調理員（委託）</t>
    <rPh sb="0" eb="3">
      <t>チョウリイン</t>
    </rPh>
    <rPh sb="4" eb="6">
      <t>イタク</t>
    </rPh>
    <phoneticPr fontId="1"/>
  </si>
  <si>
    <t>↑(数式＞定義された名前＞選択範囲から作成＞上端　で二重線囲部分を名前登録する➡ドロップダウンの範囲登録に使用)</t>
    <phoneticPr fontId="1"/>
  </si>
  <si>
    <t>事務員（委託）</t>
    <rPh sb="0" eb="2">
      <t>ジム</t>
    </rPh>
    <rPh sb="2" eb="3">
      <t>イン</t>
    </rPh>
    <rPh sb="4" eb="6">
      <t>イタク</t>
    </rPh>
    <phoneticPr fontId="1"/>
  </si>
  <si>
    <t>その他（委託）</t>
    <rPh sb="2" eb="3">
      <t>タ</t>
    </rPh>
    <rPh sb="4" eb="6">
      <t>イタク</t>
    </rPh>
    <phoneticPr fontId="1"/>
  </si>
  <si>
    <t>看護師・保健師</t>
    <rPh sb="0" eb="3">
      <t>カンゴシ</t>
    </rPh>
    <rPh sb="4" eb="7">
      <t>ホケンシ</t>
    </rPh>
    <phoneticPr fontId="1"/>
  </si>
  <si>
    <t>●　雇用職員</t>
    <rPh sb="2" eb="4">
      <t>コヨウ</t>
    </rPh>
    <rPh sb="4" eb="6">
      <t>ショクイン</t>
    </rPh>
    <phoneticPr fontId="1"/>
  </si>
  <si>
    <t>④雇用開始日</t>
    <rPh sb="3" eb="5">
      <t>カイシ</t>
    </rPh>
    <rPh sb="5" eb="6">
      <t>ビ</t>
    </rPh>
    <phoneticPr fontId="1"/>
  </si>
  <si>
    <t>No.</t>
    <phoneticPr fontId="1"/>
  </si>
  <si>
    <t>常勤・非常勤
※時短勤務は非常勤</t>
    <rPh sb="0" eb="2">
      <t>ジョウキン</t>
    </rPh>
    <rPh sb="3" eb="6">
      <t>ヒジョウキン</t>
    </rPh>
    <rPh sb="8" eb="10">
      <t>ジタン</t>
    </rPh>
    <rPh sb="10" eb="12">
      <t>キンム</t>
    </rPh>
    <rPh sb="13" eb="16">
      <t>ヒジョウキン</t>
    </rPh>
    <phoneticPr fontId="1"/>
  </si>
  <si>
    <t>契約形態</t>
    <rPh sb="0" eb="2">
      <t>ケイヤク</t>
    </rPh>
    <rPh sb="2" eb="4">
      <t>ケイタイ</t>
    </rPh>
    <phoneticPr fontId="1"/>
  </si>
  <si>
    <t>学校医</t>
    <rPh sb="0" eb="3">
      <t>ガッコウイ</t>
    </rPh>
    <phoneticPr fontId="1"/>
  </si>
  <si>
    <t>○</t>
    <phoneticPr fontId="3"/>
  </si>
  <si>
    <t>提出日</t>
    <phoneticPr fontId="3"/>
  </si>
  <si>
    <t>⇒</t>
    <phoneticPr fontId="3"/>
  </si>
  <si>
    <t>・　単位は「時間」のため、１時間30分⇒1.5（時間）となります。不明な場合は右の換算表をご使用ください。</t>
    <phoneticPr fontId="1"/>
  </si>
  <si>
    <t>【時間】</t>
    <rPh sb="1" eb="3">
      <t>ジカン</t>
    </rPh>
    <phoneticPr fontId="1"/>
  </si>
  <si>
    <t>No.</t>
    <phoneticPr fontId="3"/>
  </si>
  <si>
    <t>非常勤下限設定</t>
    <rPh sb="0" eb="3">
      <t>ヒジョウキン</t>
    </rPh>
    <rPh sb="3" eb="7">
      <t>カゲンセッテイ</t>
    </rPh>
    <phoneticPr fontId="1"/>
  </si>
  <si>
    <t>就業規則に定める時間</t>
    <rPh sb="0" eb="2">
      <t>シュウギョウ</t>
    </rPh>
    <rPh sb="2" eb="4">
      <t>キソク</t>
    </rPh>
    <rPh sb="5" eb="6">
      <t>サダ</t>
    </rPh>
    <rPh sb="8" eb="10">
      <t>ジカン</t>
    </rPh>
    <phoneticPr fontId="1"/>
  </si>
  <si>
    <t>職種</t>
    <rPh sb="0" eb="2">
      <t>ショクシュ</t>
    </rPh>
    <phoneticPr fontId="1"/>
  </si>
  <si>
    <r>
      <t>リスト登録</t>
    </r>
    <r>
      <rPr>
        <sz val="10"/>
        <color theme="1"/>
        <rFont val="ＭＳ 明朝"/>
        <family val="1"/>
        <charset val="128"/>
      </rPr>
      <t>(数式＞定義された名前＞選択範囲から作成＞上端　で二重線囲部分を名前登録する➡ドロップダウンの範囲登録に使用)</t>
    </r>
    <rPh sb="3" eb="5">
      <t>トウロク</t>
    </rPh>
    <rPh sb="6" eb="8">
      <t>スウシキ</t>
    </rPh>
    <rPh sb="9" eb="11">
      <t>テイギ</t>
    </rPh>
    <rPh sb="14" eb="16">
      <t>ナマエ</t>
    </rPh>
    <rPh sb="17" eb="19">
      <t>センタク</t>
    </rPh>
    <rPh sb="19" eb="21">
      <t>ハンイ</t>
    </rPh>
    <rPh sb="23" eb="25">
      <t>サクセイ</t>
    </rPh>
    <rPh sb="26" eb="28">
      <t>ジョウタン</t>
    </rPh>
    <rPh sb="30" eb="33">
      <t>ニジュウセン</t>
    </rPh>
    <rPh sb="33" eb="34">
      <t>カコ</t>
    </rPh>
    <rPh sb="34" eb="36">
      <t>ブブン</t>
    </rPh>
    <rPh sb="37" eb="41">
      <t>ナマエトウロク</t>
    </rPh>
    <rPh sb="52" eb="54">
      <t>ハンイ</t>
    </rPh>
    <rPh sb="54" eb="56">
      <t>トウロク</t>
    </rPh>
    <rPh sb="57" eb="59">
      <t>シヨウ</t>
    </rPh>
    <phoneticPr fontId="1"/>
  </si>
  <si>
    <t>様式2</t>
    <rPh sb="0" eb="2">
      <t>ヨウシキ</t>
    </rPh>
    <phoneticPr fontId="1"/>
  </si>
  <si>
    <t>施設長</t>
    <phoneticPr fontId="1"/>
  </si>
  <si>
    <t>事務員</t>
    <phoneticPr fontId="1"/>
  </si>
  <si>
    <t>全員</t>
    <rPh sb="0" eb="2">
      <t>ゼンイン</t>
    </rPh>
    <phoneticPr fontId="1"/>
  </si>
  <si>
    <t>業務委託</t>
    <rPh sb="0" eb="4">
      <t>ギョウムイタク</t>
    </rPh>
    <phoneticPr fontId="1"/>
  </si>
  <si>
    <t>　特定教育・保育等に要する費用の額の算定に係る職員数算出表</t>
    <phoneticPr fontId="1"/>
  </si>
  <si>
    <t>名前登録～上端行で登録↓</t>
    <rPh sb="0" eb="2">
      <t>ナマエ</t>
    </rPh>
    <rPh sb="2" eb="4">
      <t>トウロク</t>
    </rPh>
    <rPh sb="5" eb="7">
      <t>ジョウタン</t>
    </rPh>
    <rPh sb="7" eb="8">
      <t>ギョウ</t>
    </rPh>
    <rPh sb="9" eb="11">
      <t>トウロク</t>
    </rPh>
    <phoneticPr fontId="1"/>
  </si>
  <si>
    <r>
      <rPr>
        <b/>
        <sz val="10"/>
        <color rgb="FFFF0000"/>
        <rFont val="ＭＳ 明朝"/>
        <family val="1"/>
        <charset val="128"/>
      </rPr>
      <t>「月初日(1日時点)」</t>
    </r>
    <r>
      <rPr>
        <sz val="10"/>
        <color theme="1"/>
        <rFont val="ＭＳ 明朝"/>
        <family val="1"/>
        <charset val="128"/>
      </rPr>
      <t>かつ</t>
    </r>
    <r>
      <rPr>
        <b/>
        <sz val="10"/>
        <color rgb="FFFF0000"/>
        <rFont val="ＭＳ 明朝"/>
        <family val="1"/>
        <charset val="128"/>
      </rPr>
      <t>「クラス年齢」</t>
    </r>
    <r>
      <rPr>
        <sz val="10"/>
        <color theme="1"/>
        <rFont val="ＭＳ 明朝"/>
        <family val="1"/>
        <charset val="128"/>
      </rPr>
      <t>の児童数を下記に入力すること。</t>
    </r>
    <rPh sb="1" eb="2">
      <t>ツキ</t>
    </rPh>
    <rPh sb="2" eb="4">
      <t>ショニチ</t>
    </rPh>
    <rPh sb="6" eb="7">
      <t>ニチ</t>
    </rPh>
    <rPh sb="7" eb="9">
      <t>ジテン</t>
    </rPh>
    <rPh sb="17" eb="19">
      <t>ネンレイ</t>
    </rPh>
    <rPh sb="21" eb="23">
      <t>ジドウ</t>
    </rPh>
    <rPh sb="23" eb="24">
      <t>スウ</t>
    </rPh>
    <rPh sb="25" eb="27">
      <t>カキ</t>
    </rPh>
    <rPh sb="28" eb="30">
      <t>ニュウリョク</t>
    </rPh>
    <phoneticPr fontId="1"/>
  </si>
  <si>
    <t>No</t>
    <phoneticPr fontId="1"/>
  </si>
  <si>
    <t>常勤・非常勤</t>
    <rPh sb="3" eb="6">
      <t>ヒジョウキン</t>
    </rPh>
    <phoneticPr fontId="1"/>
  </si>
  <si>
    <t>入力</t>
    <rPh sb="0" eb="2">
      <t>ニュウリョク</t>
    </rPh>
    <phoneticPr fontId="1"/>
  </si>
  <si>
    <t>全職種</t>
    <rPh sb="0" eb="3">
      <t>ゼンショクシュ</t>
    </rPh>
    <phoneticPr fontId="1"/>
  </si>
  <si>
    <t>認定区分</t>
    <rPh sb="0" eb="4">
      <t>ニンテイクブン</t>
    </rPh>
    <phoneticPr fontId="1"/>
  </si>
  <si>
    <t>5歳児</t>
    <rPh sb="1" eb="2">
      <t>サイ</t>
    </rPh>
    <rPh sb="2" eb="3">
      <t>ジ</t>
    </rPh>
    <phoneticPr fontId="1"/>
  </si>
  <si>
    <t>4歳児</t>
    <rPh sb="1" eb="2">
      <t>サイ</t>
    </rPh>
    <rPh sb="2" eb="3">
      <t>ジ</t>
    </rPh>
    <phoneticPr fontId="1"/>
  </si>
  <si>
    <t>3歳児</t>
    <rPh sb="1" eb="3">
      <t>サイジ</t>
    </rPh>
    <phoneticPr fontId="1"/>
  </si>
  <si>
    <t>満3歳児</t>
    <rPh sb="0" eb="1">
      <t>マン</t>
    </rPh>
    <rPh sb="2" eb="4">
      <t>サイジ</t>
    </rPh>
    <phoneticPr fontId="1"/>
  </si>
  <si>
    <t>2歳児</t>
    <rPh sb="1" eb="3">
      <t>サイジ</t>
    </rPh>
    <phoneticPr fontId="1"/>
  </si>
  <si>
    <t>1歳児</t>
    <rPh sb="1" eb="2">
      <t>サイ</t>
    </rPh>
    <rPh sb="2" eb="3">
      <t>ジ</t>
    </rPh>
    <phoneticPr fontId="1"/>
  </si>
  <si>
    <t>0歳児（乳児）</t>
    <rPh sb="1" eb="2">
      <t>サイ</t>
    </rPh>
    <rPh sb="2" eb="3">
      <t>ジ</t>
    </rPh>
    <rPh sb="4" eb="6">
      <t>ニュウジ</t>
    </rPh>
    <phoneticPr fontId="1"/>
  </si>
  <si>
    <t>標準</t>
    <rPh sb="0" eb="2">
      <t>ヒョウジュン</t>
    </rPh>
    <phoneticPr fontId="1"/>
  </si>
  <si>
    <t>-</t>
    <phoneticPr fontId="1"/>
  </si>
  <si>
    <t>短</t>
    <rPh sb="0" eb="1">
      <t>タン</t>
    </rPh>
    <phoneticPr fontId="1"/>
  </si>
  <si>
    <t>-</t>
  </si>
  <si>
    <t>市外</t>
    <rPh sb="0" eb="2">
      <t>シガイガイ</t>
    </rPh>
    <phoneticPr fontId="1"/>
  </si>
  <si>
    <t>-</t>
    <phoneticPr fontId="1"/>
  </si>
  <si>
    <t>-</t>
    <phoneticPr fontId="1"/>
  </si>
  <si>
    <t>-</t>
    <phoneticPr fontId="1"/>
  </si>
  <si>
    <t>-</t>
    <phoneticPr fontId="1"/>
  </si>
  <si>
    <t>2　加算・減算等</t>
    <rPh sb="2" eb="4">
      <t>カサン</t>
    </rPh>
    <rPh sb="5" eb="7">
      <t>ゲンサン</t>
    </rPh>
    <rPh sb="7" eb="8">
      <t>トウ</t>
    </rPh>
    <phoneticPr fontId="1"/>
  </si>
  <si>
    <t>個票</t>
    <rPh sb="0" eb="2">
      <t>コヒョウ</t>
    </rPh>
    <phoneticPr fontId="1"/>
  </si>
  <si>
    <t>職種・リスト名</t>
    <rPh sb="0" eb="2">
      <t>ショクシュ</t>
    </rPh>
    <rPh sb="6" eb="7">
      <t>メイ</t>
    </rPh>
    <phoneticPr fontId="1"/>
  </si>
  <si>
    <t>時間数</t>
    <rPh sb="0" eb="3">
      <t>ジカンスウ</t>
    </rPh>
    <phoneticPr fontId="1"/>
  </si>
  <si>
    <t>エラー確認</t>
    <rPh sb="3" eb="5">
      <t>カクニン</t>
    </rPh>
    <phoneticPr fontId="1"/>
  </si>
  <si>
    <t>調整</t>
    <rPh sb="0" eb="2">
      <t>チョウセイ</t>
    </rPh>
    <phoneticPr fontId="1"/>
  </si>
  <si>
    <t>下限調整</t>
    <rPh sb="0" eb="4">
      <t>カゲンチョウセイ</t>
    </rPh>
    <phoneticPr fontId="1"/>
  </si>
  <si>
    <t>加算・減算等</t>
    <rPh sb="0" eb="2">
      <t>カサン</t>
    </rPh>
    <rPh sb="3" eb="6">
      <t>ゲンサントウ</t>
    </rPh>
    <phoneticPr fontId="1"/>
  </si>
  <si>
    <t>常勤換算数【人/月】</t>
    <rPh sb="0" eb="5">
      <t>ジョウキンカンサンスウ</t>
    </rPh>
    <rPh sb="5" eb="10">
      <t>「ニン／ツキ」</t>
    </rPh>
    <phoneticPr fontId="1"/>
  </si>
  <si>
    <t>申請状況</t>
    <rPh sb="0" eb="4">
      <t>シンセイジョウキョウ</t>
    </rPh>
    <phoneticPr fontId="1"/>
  </si>
  <si>
    <t>パターン</t>
    <phoneticPr fontId="1"/>
  </si>
  <si>
    <t>パターン</t>
    <phoneticPr fontId="1"/>
  </si>
  <si>
    <t>名簿有無</t>
    <rPh sb="0" eb="2">
      <t>メイボ</t>
    </rPh>
    <rPh sb="2" eb="4">
      <t>ウム</t>
    </rPh>
    <phoneticPr fontId="1"/>
  </si>
  <si>
    <t>重複</t>
    <rPh sb="0" eb="2">
      <t>チョウフク</t>
    </rPh>
    <phoneticPr fontId="1"/>
  </si>
  <si>
    <t>パターン</t>
    <phoneticPr fontId="1"/>
  </si>
  <si>
    <t>担当者名</t>
    <rPh sb="0" eb="4">
      <t>タントウシャメイ</t>
    </rPh>
    <phoneticPr fontId="1"/>
  </si>
  <si>
    <t>条件</t>
    <rPh sb="0" eb="2">
      <t>ジョウケン</t>
    </rPh>
    <phoneticPr fontId="1"/>
  </si>
  <si>
    <t>特例①</t>
    <rPh sb="0" eb="2">
      <t>トクレイ</t>
    </rPh>
    <phoneticPr fontId="1"/>
  </si>
  <si>
    <t>特例②</t>
    <rPh sb="0" eb="2">
      <t>トクレイ</t>
    </rPh>
    <phoneticPr fontId="1"/>
  </si>
  <si>
    <t>特例③</t>
    <rPh sb="0" eb="3">
      <t>トクレイ3</t>
    </rPh>
    <phoneticPr fontId="1"/>
  </si>
  <si>
    <t>人/月</t>
    <rPh sb="0" eb="1">
      <t>ニン</t>
    </rPh>
    <rPh sb="2" eb="3">
      <t>ツキ</t>
    </rPh>
    <phoneticPr fontId="1"/>
  </si>
  <si>
    <t>基本配置</t>
    <rPh sb="0" eb="4">
      <t>キホンハイチ</t>
    </rPh>
    <phoneticPr fontId="1"/>
  </si>
  <si>
    <t>-</t>
    <phoneticPr fontId="1"/>
  </si>
  <si>
    <t>保育士①</t>
    <rPh sb="0" eb="3">
      <t>ホイクシ</t>
    </rPh>
    <phoneticPr fontId="1"/>
  </si>
  <si>
    <t>保育士②</t>
    <rPh sb="0" eb="4">
      <t>ホイクシ2</t>
    </rPh>
    <phoneticPr fontId="1"/>
  </si>
  <si>
    <t>-</t>
    <phoneticPr fontId="1"/>
  </si>
  <si>
    <t>-</t>
    <phoneticPr fontId="1"/>
  </si>
  <si>
    <t xml:space="preserve">休日保育加算
</t>
    <rPh sb="0" eb="6">
      <t>キュウジツホイクカサン</t>
    </rPh>
    <phoneticPr fontId="1"/>
  </si>
  <si>
    <t>①通常給与で対応した分を記載</t>
    <phoneticPr fontId="1"/>
  </si>
  <si>
    <t>②超過勤務で対応した分は別紙３に記載</t>
    <phoneticPr fontId="1"/>
  </si>
  <si>
    <t>事務配置加算</t>
    <rPh sb="0" eb="6">
      <t>ジムハイチカサン</t>
    </rPh>
    <phoneticPr fontId="1"/>
  </si>
  <si>
    <t>療育支援加算</t>
    <rPh sb="0" eb="6">
      <t>リョウイクシエンカサン</t>
    </rPh>
    <phoneticPr fontId="1"/>
  </si>
  <si>
    <t>高齢者活躍促進等加算
（計上していない職員は3月加算申請時に対象職員にできません。）</t>
    <rPh sb="0" eb="3">
      <t>コウレイシャ</t>
    </rPh>
    <rPh sb="3" eb="8">
      <t>カツヤクソクシントウ</t>
    </rPh>
    <rPh sb="8" eb="10">
      <t>カサン</t>
    </rPh>
    <rPh sb="23" eb="26">
      <t>ガツカサン</t>
    </rPh>
    <rPh sb="28" eb="29">
      <t>ジ</t>
    </rPh>
    <rPh sb="30" eb="34">
      <t>タイショウショクイン</t>
    </rPh>
    <phoneticPr fontId="1"/>
  </si>
  <si>
    <t>合計(参考)</t>
    <rPh sb="0" eb="2">
      <t>ゴウケイ</t>
    </rPh>
    <rPh sb="3" eb="5">
      <t>サンコウ</t>
    </rPh>
    <phoneticPr fontId="1"/>
  </si>
  <si>
    <t>障がい児保育事業費補助金</t>
    <rPh sb="0" eb="1">
      <t>ショウ</t>
    </rPh>
    <rPh sb="3" eb="4">
      <t>ジ</t>
    </rPh>
    <rPh sb="4" eb="6">
      <t>ホイク</t>
    </rPh>
    <rPh sb="6" eb="8">
      <t>ジギョウ</t>
    </rPh>
    <rPh sb="8" eb="9">
      <t>ヒ</t>
    </rPh>
    <rPh sb="9" eb="12">
      <t>ホジョキン</t>
    </rPh>
    <phoneticPr fontId="1"/>
  </si>
  <si>
    <t>産休等代替職員雇用費補助金</t>
    <rPh sb="0" eb="2">
      <t>サンキュウ</t>
    </rPh>
    <rPh sb="2" eb="3">
      <t>トウ</t>
    </rPh>
    <rPh sb="3" eb="5">
      <t>ダイタイ</t>
    </rPh>
    <rPh sb="5" eb="7">
      <t>ショクイン</t>
    </rPh>
    <rPh sb="7" eb="9">
      <t>コヨウ</t>
    </rPh>
    <rPh sb="9" eb="10">
      <t>ヒ</t>
    </rPh>
    <rPh sb="10" eb="13">
      <t>ホジョキン</t>
    </rPh>
    <phoneticPr fontId="1"/>
  </si>
  <si>
    <t>食物アレルギー児保育事業費補助金</t>
    <rPh sb="0" eb="2">
      <t>ショクモツ</t>
    </rPh>
    <rPh sb="7" eb="8">
      <t>ジ</t>
    </rPh>
    <rPh sb="8" eb="10">
      <t>ホイク</t>
    </rPh>
    <rPh sb="10" eb="12">
      <t>ジギョウ</t>
    </rPh>
    <rPh sb="12" eb="13">
      <t>ヒ</t>
    </rPh>
    <rPh sb="13" eb="16">
      <t>ホジョキン</t>
    </rPh>
    <phoneticPr fontId="1"/>
  </si>
  <si>
    <t>その他
補助金名等を記載すること➡</t>
    <rPh sb="2" eb="3">
      <t>タ</t>
    </rPh>
    <rPh sb="5" eb="10">
      <t>ホジョキンメイトウ</t>
    </rPh>
    <rPh sb="11" eb="13">
      <t>キサイ</t>
    </rPh>
    <phoneticPr fontId="1"/>
  </si>
  <si>
    <t>(うち委託分)</t>
    <rPh sb="3" eb="5">
      <t>イタク</t>
    </rPh>
    <rPh sb="5" eb="6">
      <t>ブン</t>
    </rPh>
    <phoneticPr fontId="1"/>
  </si>
  <si>
    <t>業務委託</t>
  </si>
  <si>
    <t>３　配置数</t>
    <rPh sb="2" eb="4">
      <t>ハイチ</t>
    </rPh>
    <rPh sb="4" eb="5">
      <t>スウ</t>
    </rPh>
    <phoneticPr fontId="1"/>
  </si>
  <si>
    <t>【人/月】</t>
    <rPh sb="0" eb="5">
      <t>「ニン／ツキ」</t>
    </rPh>
    <phoneticPr fontId="1"/>
  </si>
  <si>
    <t>公定価格</t>
    <rPh sb="0" eb="4">
      <t>コウテイカカク</t>
    </rPh>
    <phoneticPr fontId="1"/>
  </si>
  <si>
    <t>様式2より…A</t>
    <rPh sb="0" eb="2">
      <t>ヨウシキ</t>
    </rPh>
    <phoneticPr fontId="1"/>
  </si>
  <si>
    <t>調整…Ｂ</t>
    <rPh sb="0" eb="2">
      <t>チョウセイ</t>
    </rPh>
    <phoneticPr fontId="1"/>
  </si>
  <si>
    <t>実配置数…A-B+C(※)</t>
    <rPh sb="0" eb="1">
      <t>ジツ</t>
    </rPh>
    <rPh sb="1" eb="4">
      <t>ハイチスウ</t>
    </rPh>
    <phoneticPr fontId="1"/>
  </si>
  <si>
    <t>高齢者等活躍促進加算</t>
    <rPh sb="0" eb="8">
      <t>コウレイシャトウカツヤクソクシン</t>
    </rPh>
    <rPh sb="8" eb="10">
      <t>カサン</t>
    </rPh>
    <phoneticPr fontId="1"/>
  </si>
  <si>
    <t>補助金担当</t>
    <rPh sb="0" eb="3">
      <t>ホジョキン</t>
    </rPh>
    <rPh sb="3" eb="5">
      <t>タントウ</t>
    </rPh>
    <phoneticPr fontId="1"/>
  </si>
  <si>
    <t>他職種への流用…C</t>
    <rPh sb="0" eb="1">
      <t>ホカ</t>
    </rPh>
    <rPh sb="1" eb="3">
      <t>ショクシュ</t>
    </rPh>
    <rPh sb="5" eb="7">
      <t>リュウヨウ</t>
    </rPh>
    <phoneticPr fontId="1"/>
  </si>
  <si>
    <t>調理員へ変更</t>
    <rPh sb="4" eb="6">
      <t>ヘンコウ</t>
    </rPh>
    <phoneticPr fontId="1"/>
  </si>
  <si>
    <t>事務員へ変更</t>
    <rPh sb="4" eb="6">
      <t>ヘンコウ</t>
    </rPh>
    <phoneticPr fontId="1"/>
  </si>
  <si>
    <t>１　赤字及び二重線囲部分を各加算に応じて更新すること</t>
    <rPh sb="2" eb="4">
      <t>アカジ</t>
    </rPh>
    <rPh sb="4" eb="5">
      <t>オヨ</t>
    </rPh>
    <rPh sb="6" eb="9">
      <t>ニジュウセン</t>
    </rPh>
    <rPh sb="9" eb="10">
      <t>カコ</t>
    </rPh>
    <rPh sb="10" eb="12">
      <t>ブブン</t>
    </rPh>
    <rPh sb="13" eb="16">
      <t>カクカサン</t>
    </rPh>
    <rPh sb="17" eb="18">
      <t>オウ</t>
    </rPh>
    <rPh sb="20" eb="22">
      <t>コウシン</t>
    </rPh>
    <phoneticPr fontId="1"/>
  </si>
  <si>
    <t>２　「-」は対象外のため数式未入力箇所</t>
    <rPh sb="6" eb="9">
      <t>タイショウガイ</t>
    </rPh>
    <rPh sb="12" eb="19">
      <t>スウシキミニュウリョクカショ</t>
    </rPh>
    <phoneticPr fontId="1"/>
  </si>
  <si>
    <t>…ア</t>
    <phoneticPr fontId="1"/>
  </si>
  <si>
    <t>特例</t>
    <rPh sb="0" eb="2">
      <t>トクレイ</t>
    </rPh>
    <phoneticPr fontId="1"/>
  </si>
  <si>
    <t>重複判定データ</t>
    <rPh sb="0" eb="4">
      <t>チョウフクハンテイ</t>
    </rPh>
    <phoneticPr fontId="1"/>
  </si>
  <si>
    <t>個票の申請状況引用</t>
    <rPh sb="0" eb="2">
      <t>コヒョウ</t>
    </rPh>
    <rPh sb="3" eb="5">
      <t>シンセイ</t>
    </rPh>
    <rPh sb="5" eb="7">
      <t>ジョウキョウ</t>
    </rPh>
    <rPh sb="7" eb="9">
      <t>インヨウ</t>
    </rPh>
    <phoneticPr fontId="1"/>
  </si>
  <si>
    <t>その他条件（判定に使用）</t>
    <rPh sb="2" eb="5">
      <t>タジョウケン</t>
    </rPh>
    <rPh sb="6" eb="8">
      <t>ハンテイ</t>
    </rPh>
    <rPh sb="9" eb="11">
      <t>シヨウ</t>
    </rPh>
    <phoneticPr fontId="1"/>
  </si>
  <si>
    <t>担当者のドロップダウンに使用。右の「リスト登録」で登録した名前を引用</t>
    <rPh sb="0" eb="3">
      <t>タントウシャ</t>
    </rPh>
    <rPh sb="12" eb="14">
      <t>シヨウ</t>
    </rPh>
    <rPh sb="15" eb="16">
      <t>ミギ</t>
    </rPh>
    <rPh sb="21" eb="23">
      <t>トウロク</t>
    </rPh>
    <rPh sb="25" eb="27">
      <t>トウロク</t>
    </rPh>
    <rPh sb="29" eb="31">
      <t>ナマエ</t>
    </rPh>
    <rPh sb="32" eb="34">
      <t>インヨウ</t>
    </rPh>
    <phoneticPr fontId="1"/>
  </si>
  <si>
    <t>○</t>
    <phoneticPr fontId="1"/>
  </si>
  <si>
    <t>○</t>
    <phoneticPr fontId="1"/>
  </si>
  <si>
    <t>○</t>
    <phoneticPr fontId="1"/>
  </si>
  <si>
    <t>重複判定から除外する番号を重複判定データから引用する</t>
    <rPh sb="0" eb="2">
      <t>チョウフク</t>
    </rPh>
    <rPh sb="2" eb="4">
      <t>ハンテイ</t>
    </rPh>
    <rPh sb="6" eb="8">
      <t>ジョガイ</t>
    </rPh>
    <rPh sb="10" eb="12">
      <t>バンゴウ</t>
    </rPh>
    <rPh sb="13" eb="17">
      <t>チョウフクハンテイ</t>
    </rPh>
    <rPh sb="22" eb="24">
      <t>インヨウ</t>
    </rPh>
    <phoneticPr fontId="1"/>
  </si>
  <si>
    <t>○</t>
    <phoneticPr fontId="1"/>
  </si>
  <si>
    <t>兼務職員や補助金担当時間を調整する際に使用。項目には職種名、人/月には調整する常勤換算数を引用</t>
    <rPh sb="0" eb="4">
      <t>ケンムショクイン</t>
    </rPh>
    <rPh sb="5" eb="8">
      <t>ホジョキン</t>
    </rPh>
    <rPh sb="8" eb="10">
      <t>タントウ</t>
    </rPh>
    <rPh sb="10" eb="12">
      <t>ジカン</t>
    </rPh>
    <rPh sb="13" eb="15">
      <t>チョウセイ</t>
    </rPh>
    <rPh sb="17" eb="18">
      <t>サイ</t>
    </rPh>
    <rPh sb="19" eb="21">
      <t>シヨウ</t>
    </rPh>
    <rPh sb="22" eb="24">
      <t>コウモク</t>
    </rPh>
    <rPh sb="26" eb="29">
      <t>ショクシュメイ</t>
    </rPh>
    <rPh sb="30" eb="31">
      <t>ジン</t>
    </rPh>
    <rPh sb="32" eb="33">
      <t>ツキ</t>
    </rPh>
    <rPh sb="35" eb="37">
      <t>チョウセイ</t>
    </rPh>
    <rPh sb="39" eb="44">
      <t>ジョウキンカンサンスウ</t>
    </rPh>
    <rPh sb="45" eb="47">
      <t>インヨウ</t>
    </rPh>
    <phoneticPr fontId="1"/>
  </si>
  <si>
    <t>下限調整あり</t>
    <rPh sb="0" eb="4">
      <t>カゲンチョウセイ</t>
    </rPh>
    <phoneticPr fontId="1"/>
  </si>
  <si>
    <t>○</t>
    <phoneticPr fontId="1"/>
  </si>
  <si>
    <t>下限調整なし</t>
    <rPh sb="0" eb="4">
      <t>カゲンチョウセイ</t>
    </rPh>
    <phoneticPr fontId="1"/>
  </si>
  <si>
    <t>担当時間調整あり</t>
    <rPh sb="0" eb="6">
      <t>タントウジカンチョウセイ</t>
    </rPh>
    <phoneticPr fontId="1"/>
  </si>
  <si>
    <t>4　必要職員数及び職員数算出</t>
    <rPh sb="2" eb="4">
      <t>ヒツヨウ</t>
    </rPh>
    <rPh sb="4" eb="6">
      <t>ショクイン</t>
    </rPh>
    <rPh sb="6" eb="7">
      <t>スウ</t>
    </rPh>
    <rPh sb="7" eb="8">
      <t>オヨ</t>
    </rPh>
    <rPh sb="9" eb="14">
      <t>ショクインスウサンシュツ</t>
    </rPh>
    <phoneticPr fontId="1"/>
  </si>
  <si>
    <t>エラー</t>
    <phoneticPr fontId="1"/>
  </si>
  <si>
    <t>必要数</t>
    <rPh sb="0" eb="3">
      <t>ヒツヨウスウ</t>
    </rPh>
    <phoneticPr fontId="1"/>
  </si>
  <si>
    <t>配置数</t>
    <rPh sb="0" eb="2">
      <t>ハイチ</t>
    </rPh>
    <rPh sb="2" eb="3">
      <t>スウ</t>
    </rPh>
    <phoneticPr fontId="1"/>
  </si>
  <si>
    <t>配置数　－　必要数</t>
    <rPh sb="0" eb="3">
      <t>ハイチスウ</t>
    </rPh>
    <rPh sb="6" eb="9">
      <t>ヒツヨウスウ</t>
    </rPh>
    <phoneticPr fontId="1"/>
  </si>
  <si>
    <t>↑パターンごとに手入力</t>
    <rPh sb="8" eb="11">
      <t>テニュウリョク</t>
    </rPh>
    <phoneticPr fontId="1"/>
  </si>
  <si>
    <t>↑対象判定数式を加算ごとに入力（左の個票を使用すると良い）</t>
    <rPh sb="1" eb="5">
      <t>タイショウハンテイ</t>
    </rPh>
    <rPh sb="5" eb="7">
      <t>スウシキ</t>
    </rPh>
    <rPh sb="8" eb="10">
      <t>カサン</t>
    </rPh>
    <rPh sb="13" eb="15">
      <t>ニュウリョク</t>
    </rPh>
    <rPh sb="16" eb="17">
      <t>ヒダリ</t>
    </rPh>
    <rPh sb="18" eb="20">
      <t>コヒョウ</t>
    </rPh>
    <rPh sb="21" eb="23">
      <t>シヨウ</t>
    </rPh>
    <rPh sb="26" eb="27">
      <t>ヨ</t>
    </rPh>
    <phoneticPr fontId="1"/>
  </si>
  <si>
    <t>計算過程</t>
    <rPh sb="0" eb="4">
      <t>ケイサンカテイ</t>
    </rPh>
    <phoneticPr fontId="1"/>
  </si>
  <si>
    <t>小計</t>
    <rPh sb="0" eb="2">
      <t>ショウケイ</t>
    </rPh>
    <phoneticPr fontId="1"/>
  </si>
  <si>
    <t>施設長（基本配置）</t>
    <rPh sb="0" eb="3">
      <t>シセツチョウ</t>
    </rPh>
    <rPh sb="4" eb="8">
      <t>キホンハイチ</t>
    </rPh>
    <phoneticPr fontId="1"/>
  </si>
  <si>
    <t>小数第二位以下切捨</t>
    <rPh sb="4" eb="5">
      <t>イ</t>
    </rPh>
    <phoneticPr fontId="1"/>
  </si>
  <si>
    <t>足して小数第一位四捨五入</t>
    <rPh sb="0" eb="1">
      <t>タ</t>
    </rPh>
    <rPh sb="6" eb="7">
      <t>１</t>
    </rPh>
    <rPh sb="7" eb="8">
      <t>イ</t>
    </rPh>
    <rPh sb="8" eb="12">
      <t>シシャゴニュウ</t>
    </rPh>
    <phoneticPr fontId="1"/>
  </si>
  <si>
    <t>４歳児</t>
    <phoneticPr fontId="1"/>
  </si>
  <si>
    <t>５歳児</t>
    <phoneticPr fontId="1"/>
  </si>
  <si>
    <t>利用定員90人以下については１人（分園がある場合は各１人）</t>
    <rPh sb="0" eb="4">
      <t>リヨウテイイン</t>
    </rPh>
    <rPh sb="6" eb="9">
      <t>ニンイカ</t>
    </rPh>
    <rPh sb="15" eb="16">
      <t>ニン</t>
    </rPh>
    <rPh sb="17" eb="19">
      <t>ブンエン</t>
    </rPh>
    <rPh sb="22" eb="24">
      <t>バアイ</t>
    </rPh>
    <rPh sb="25" eb="26">
      <t>カク</t>
    </rPh>
    <rPh sb="27" eb="28">
      <t>ニン</t>
    </rPh>
    <phoneticPr fontId="1"/>
  </si>
  <si>
    <t>②</t>
    <phoneticPr fontId="1"/>
  </si>
  <si>
    <t>保育標準時間児童が利用する場合は１人（分園がある場合は各１人）</t>
    <rPh sb="0" eb="2">
      <t>ホイク</t>
    </rPh>
    <rPh sb="2" eb="4">
      <t>ヒョウジュン</t>
    </rPh>
    <rPh sb="4" eb="6">
      <t>ジカン</t>
    </rPh>
    <rPh sb="6" eb="8">
      <t>ジドウ</t>
    </rPh>
    <rPh sb="9" eb="11">
      <t>リヨウ</t>
    </rPh>
    <rPh sb="13" eb="15">
      <t>バアイ</t>
    </rPh>
    <rPh sb="17" eb="18">
      <t>ニン</t>
    </rPh>
    <rPh sb="19" eb="21">
      <t>ブンエン</t>
    </rPh>
    <rPh sb="24" eb="26">
      <t>バアイ</t>
    </rPh>
    <rPh sb="27" eb="28">
      <t>カク</t>
    </rPh>
    <rPh sb="29" eb="30">
      <t>ニン</t>
    </rPh>
    <phoneticPr fontId="1"/>
  </si>
  <si>
    <t>対象職員分計上</t>
    <rPh sb="0" eb="4">
      <t>タイショウショクイン</t>
    </rPh>
    <rPh sb="4" eb="5">
      <t>ブン</t>
    </rPh>
    <rPh sb="5" eb="7">
      <t>ケイジョウ</t>
    </rPh>
    <phoneticPr fontId="1"/>
  </si>
  <si>
    <t>主任保育士専任化加算の代替保育士１人</t>
    <rPh sb="0" eb="2">
      <t>シュニン</t>
    </rPh>
    <rPh sb="2" eb="5">
      <t>ホイクシ</t>
    </rPh>
    <rPh sb="5" eb="7">
      <t>センニン</t>
    </rPh>
    <rPh sb="7" eb="8">
      <t>カ</t>
    </rPh>
    <rPh sb="8" eb="10">
      <t>カサン</t>
    </rPh>
    <rPh sb="11" eb="13">
      <t>ダイタイ</t>
    </rPh>
    <rPh sb="13" eb="16">
      <t>ホイクシ</t>
    </rPh>
    <rPh sb="17" eb="18">
      <t>ニン</t>
    </rPh>
    <phoneticPr fontId="1"/>
  </si>
  <si>
    <t>栄養管理加算</t>
    <rPh sb="0" eb="6">
      <t>エイヨウカンリカサン</t>
    </rPh>
    <phoneticPr fontId="1"/>
  </si>
  <si>
    <t>事務（基本配置）</t>
    <rPh sb="0" eb="2">
      <t>ジム</t>
    </rPh>
    <rPh sb="3" eb="7">
      <t>キホンハイチ</t>
    </rPh>
    <phoneticPr fontId="1"/>
  </si>
  <si>
    <t>事務職員配置加算</t>
    <rPh sb="0" eb="4">
      <t>ジムショクイン</t>
    </rPh>
    <rPh sb="4" eb="6">
      <t>ハイチ</t>
    </rPh>
    <rPh sb="6" eb="8">
      <t>カサン</t>
    </rPh>
    <phoneticPr fontId="1"/>
  </si>
  <si>
    <t>別紙４（「加算：通園送迎加算」の添付書類）</t>
    <rPh sb="0" eb="2">
      <t>ベッシ</t>
    </rPh>
    <rPh sb="5" eb="7">
      <t>カサン</t>
    </rPh>
    <rPh sb="8" eb="10">
      <t>ツウエン</t>
    </rPh>
    <rPh sb="10" eb="12">
      <t>ソウゲイ</t>
    </rPh>
    <rPh sb="12" eb="14">
      <t>カサン</t>
    </rPh>
    <rPh sb="16" eb="18">
      <t>テンプ</t>
    </rPh>
    <rPh sb="18" eb="20">
      <t>ショルイ</t>
    </rPh>
    <phoneticPr fontId="1"/>
  </si>
  <si>
    <r>
      <t>　・　修業日は、</t>
    </r>
    <r>
      <rPr>
        <b/>
        <u/>
        <sz val="10"/>
        <rFont val="ＭＳ 明朝"/>
        <family val="1"/>
        <charset val="128"/>
      </rPr>
      <t>通常教育提供日</t>
    </r>
    <r>
      <rPr>
        <sz val="10"/>
        <rFont val="ＭＳ 明朝"/>
        <family val="1"/>
        <charset val="128"/>
      </rPr>
      <t>にドロップダウンから「○」を入力してください。また、４月～３月のすべてを埋めてください。</t>
    </r>
    <rPh sb="3" eb="5">
      <t>シュウギョウ</t>
    </rPh>
    <rPh sb="5" eb="6">
      <t>ビ</t>
    </rPh>
    <rPh sb="42" eb="43">
      <t>ガツ</t>
    </rPh>
    <rPh sb="45" eb="46">
      <t>ガツ</t>
    </rPh>
    <rPh sb="51" eb="52">
      <t>ウ</t>
    </rPh>
    <phoneticPr fontId="1"/>
  </si>
  <si>
    <t>修業日数(計)：</t>
    <rPh sb="0" eb="2">
      <t>シュウギョウ</t>
    </rPh>
    <rPh sb="2" eb="3">
      <t>ビ</t>
    </rPh>
    <rPh sb="3" eb="4">
      <t>スウ</t>
    </rPh>
    <rPh sb="5" eb="6">
      <t>ケイ</t>
    </rPh>
    <phoneticPr fontId="1"/>
  </si>
  <si>
    <t>給食日数(計)：</t>
    <rPh sb="0" eb="2">
      <t>キュウショク</t>
    </rPh>
    <rPh sb="2" eb="3">
      <t>ビ</t>
    </rPh>
    <rPh sb="3" eb="4">
      <t>スウ</t>
    </rPh>
    <rPh sb="5" eb="6">
      <t>ケイ</t>
    </rPh>
    <phoneticPr fontId="1"/>
  </si>
  <si>
    <t>１号利用定員の恒常的な超過の解消に関する申出書</t>
    <phoneticPr fontId="1"/>
  </si>
  <si>
    <t>　以下のとおり年間平均在所率が越えることが無いように教育を提供いたします。</t>
    <rPh sb="1" eb="3">
      <t>イカ</t>
    </rPh>
    <rPh sb="7" eb="9">
      <t>ネンカン</t>
    </rPh>
    <rPh sb="9" eb="11">
      <t>ヘイキン</t>
    </rPh>
    <rPh sb="11" eb="13">
      <t>ザイショリ</t>
    </rPh>
    <rPh sb="13" eb="14">
      <t>リツ</t>
    </rPh>
    <rPh sb="15" eb="16">
      <t>コ</t>
    </rPh>
    <rPh sb="21" eb="22">
      <t>ナ</t>
    </rPh>
    <rPh sb="26" eb="28">
      <t>キョウイク</t>
    </rPh>
    <rPh sb="29" eb="31">
      <t>テイキョウ</t>
    </rPh>
    <phoneticPr fontId="1"/>
  </si>
  <si>
    <t>１号利用定員の恒常的な超過の解消に関する実績報告書</t>
    <rPh sb="20" eb="25">
      <t>ジッセキホウコクショ</t>
    </rPh>
    <phoneticPr fontId="1"/>
  </si>
  <si>
    <t>相談・承認</t>
    <rPh sb="0" eb="2">
      <t>ソウダン</t>
    </rPh>
    <rPh sb="3" eb="5">
      <t>ショウニン</t>
    </rPh>
    <phoneticPr fontId="1"/>
  </si>
  <si>
    <t>交流</t>
    <rPh sb="0" eb="2">
      <t>コウリュウ</t>
    </rPh>
    <phoneticPr fontId="1"/>
  </si>
  <si>
    <t>以下の記載欄を全て埋めてください。</t>
    <rPh sb="0" eb="2">
      <t>イカ</t>
    </rPh>
    <rPh sb="3" eb="5">
      <t>キサイ</t>
    </rPh>
    <rPh sb="5" eb="6">
      <t>ラン</t>
    </rPh>
    <rPh sb="7" eb="8">
      <t>スベ</t>
    </rPh>
    <rPh sb="9" eb="10">
      <t>ウ</t>
    </rPh>
    <phoneticPr fontId="1"/>
  </si>
  <si>
    <t>相談していない</t>
    <rPh sb="0" eb="2">
      <t>ソウダン</t>
    </rPh>
    <phoneticPr fontId="1"/>
  </si>
  <si>
    <t>交流している</t>
    <rPh sb="0" eb="2">
      <t>コウリュウ</t>
    </rPh>
    <phoneticPr fontId="1"/>
  </si>
  <si>
    <t>　・　未記載の欄がある又は交流先への相談欄で「相談していない」を選択すると対象外となります。</t>
    <rPh sb="3" eb="6">
      <t>ミキサイ</t>
    </rPh>
    <rPh sb="7" eb="8">
      <t>ラン</t>
    </rPh>
    <rPh sb="11" eb="12">
      <t>マタ</t>
    </rPh>
    <rPh sb="13" eb="15">
      <t>コウリュウ</t>
    </rPh>
    <rPh sb="15" eb="16">
      <t>サキ</t>
    </rPh>
    <rPh sb="18" eb="20">
      <t>ソウダン</t>
    </rPh>
    <rPh sb="20" eb="21">
      <t>ラン</t>
    </rPh>
    <rPh sb="23" eb="25">
      <t>ソウダン</t>
    </rPh>
    <rPh sb="32" eb="34">
      <t>センタク</t>
    </rPh>
    <rPh sb="37" eb="40">
      <t>タイショウガイ</t>
    </rPh>
    <phoneticPr fontId="1"/>
  </si>
  <si>
    <t>相談している</t>
    <rPh sb="0" eb="2">
      <t>ソウダン</t>
    </rPh>
    <phoneticPr fontId="1"/>
  </si>
  <si>
    <t>交流していない</t>
    <rPh sb="0" eb="2">
      <t>コウリュウ</t>
    </rPh>
    <phoneticPr fontId="1"/>
  </si>
  <si>
    <t>　・　幼保小連携協議会に参加するだけでは対象外です（幼保小連携協議会のプログラムの一環として、小学校との教職員及び子どもの交流活動がある場合は可）</t>
    <rPh sb="3" eb="11">
      <t>ヨウホショウレンケイキョウギカイ</t>
    </rPh>
    <rPh sb="12" eb="14">
      <t>サンカ</t>
    </rPh>
    <rPh sb="20" eb="23">
      <t>タイショウガイ</t>
    </rPh>
    <rPh sb="26" eb="34">
      <t>ヨウホショウレンケイキョウギカイ</t>
    </rPh>
    <rPh sb="41" eb="43">
      <t>イッカン</t>
    </rPh>
    <rPh sb="47" eb="50">
      <t>ショウガッコウ</t>
    </rPh>
    <rPh sb="52" eb="56">
      <t>キョウショクインオヨ</t>
    </rPh>
    <rPh sb="57" eb="58">
      <t>コ</t>
    </rPh>
    <rPh sb="61" eb="65">
      <t>コウリュウカツドウ</t>
    </rPh>
    <rPh sb="68" eb="70">
      <t>バアイ</t>
    </rPh>
    <rPh sb="71" eb="72">
      <t>カ</t>
    </rPh>
    <phoneticPr fontId="1"/>
  </si>
  <si>
    <t xml:space="preserve"> ・ 計画書を作成された日にちが１日の場合は当該月、２日以降の場合は翌月から該当となります。ただし、４月２日～５月１日に計画された場合は４月から該当となります。</t>
    <rPh sb="3" eb="6">
      <t>ケイカクショ</t>
    </rPh>
    <rPh sb="7" eb="9">
      <t>サクセイ</t>
    </rPh>
    <rPh sb="12" eb="13">
      <t>ヒ</t>
    </rPh>
    <rPh sb="17" eb="18">
      <t>ニチ</t>
    </rPh>
    <rPh sb="19" eb="21">
      <t>バアイ</t>
    </rPh>
    <rPh sb="22" eb="25">
      <t>トウガイツキ</t>
    </rPh>
    <rPh sb="27" eb="30">
      <t>ニチイコウ</t>
    </rPh>
    <rPh sb="31" eb="33">
      <t>バアイ</t>
    </rPh>
    <rPh sb="34" eb="36">
      <t>ヨクツキ</t>
    </rPh>
    <rPh sb="38" eb="40">
      <t>ガイトウ</t>
    </rPh>
    <rPh sb="51" eb="52">
      <t>ガツ</t>
    </rPh>
    <rPh sb="53" eb="54">
      <t>ニチ</t>
    </rPh>
    <rPh sb="56" eb="57">
      <t>ガツ</t>
    </rPh>
    <rPh sb="58" eb="59">
      <t>ニチ</t>
    </rPh>
    <rPh sb="60" eb="62">
      <t>ケイカク</t>
    </rPh>
    <rPh sb="65" eb="67">
      <t>バアイ</t>
    </rPh>
    <rPh sb="69" eb="70">
      <t>ガツ</t>
    </rPh>
    <rPh sb="72" eb="74">
      <t>ガイトウ</t>
    </rPh>
    <phoneticPr fontId="1"/>
  </si>
  <si>
    <t>判定→</t>
    <rPh sb="0" eb="2">
      <t>ハンテイ</t>
    </rPh>
    <phoneticPr fontId="1"/>
  </si>
  <si>
    <t>適用月→</t>
    <rPh sb="0" eb="3">
      <t>テキヨウツキ</t>
    </rPh>
    <phoneticPr fontId="1"/>
  </si>
  <si>
    <t>小学校交流計画書</t>
    <rPh sb="0" eb="3">
      <t>ショウガッコウ</t>
    </rPh>
    <rPh sb="3" eb="5">
      <t>コウリュウ</t>
    </rPh>
    <rPh sb="5" eb="7">
      <t>ケイカク</t>
    </rPh>
    <rPh sb="7" eb="8">
      <t>ショ</t>
    </rPh>
    <phoneticPr fontId="1"/>
  </si>
  <si>
    <t>計画書作成日</t>
    <rPh sb="0" eb="3">
      <t>ケイカクショ</t>
    </rPh>
    <rPh sb="3" eb="6">
      <t>サクセイビ</t>
    </rPh>
    <phoneticPr fontId="1"/>
  </si>
  <si>
    <t>当該計画書作成者</t>
    <rPh sb="0" eb="2">
      <t>トウガイ</t>
    </rPh>
    <rPh sb="2" eb="5">
      <t>ケイカクショ</t>
    </rPh>
    <rPh sb="5" eb="8">
      <t>サクセイシャ</t>
    </rPh>
    <phoneticPr fontId="1"/>
  </si>
  <si>
    <t>役職</t>
    <rPh sb="0" eb="2">
      <t>ヤクショク</t>
    </rPh>
    <phoneticPr fontId="1"/>
  </si>
  <si>
    <t>１回目</t>
    <rPh sb="1" eb="3">
      <t>カイメ</t>
    </rPh>
    <phoneticPr fontId="1"/>
  </si>
  <si>
    <t>交流先</t>
    <rPh sb="0" eb="2">
      <t>コウリュウ</t>
    </rPh>
    <rPh sb="2" eb="3">
      <t>サキ</t>
    </rPh>
    <phoneticPr fontId="1"/>
  </si>
  <si>
    <t>学校名</t>
    <rPh sb="0" eb="3">
      <t>ガッコウメイ</t>
    </rPh>
    <phoneticPr fontId="1"/>
  </si>
  <si>
    <t>交流先担当者</t>
    <rPh sb="0" eb="6">
      <t>コウリュウサキタントウシャ</t>
    </rPh>
    <phoneticPr fontId="1"/>
  </si>
  <si>
    <t>交流先への相談</t>
    <rPh sb="0" eb="2">
      <t>コウリュウ</t>
    </rPh>
    <rPh sb="2" eb="3">
      <t>サキ</t>
    </rPh>
    <rPh sb="5" eb="7">
      <t>ソウダン</t>
    </rPh>
    <phoneticPr fontId="1"/>
  </si>
  <si>
    <t>交流予定年月日</t>
    <rPh sb="0" eb="7">
      <t>コウリュウヨテイネンガッピ</t>
    </rPh>
    <phoneticPr fontId="1"/>
  </si>
  <si>
    <t>行事名称</t>
    <rPh sb="0" eb="4">
      <t>ギョウジメイショウ</t>
    </rPh>
    <phoneticPr fontId="1"/>
  </si>
  <si>
    <t>行事内容</t>
    <rPh sb="0" eb="4">
      <t>ギョウジナイヨウ</t>
    </rPh>
    <phoneticPr fontId="1"/>
  </si>
  <si>
    <t>教職員との交流が図られているか</t>
    <rPh sb="0" eb="3">
      <t>キョウショクイン</t>
    </rPh>
    <rPh sb="5" eb="7">
      <t>コウリュウ</t>
    </rPh>
    <rPh sb="8" eb="9">
      <t>ハカ</t>
    </rPh>
    <phoneticPr fontId="1"/>
  </si>
  <si>
    <t>子どもとの交流が図られているか</t>
    <rPh sb="0" eb="1">
      <t>コ</t>
    </rPh>
    <rPh sb="5" eb="7">
      <t>コウリュウ</t>
    </rPh>
    <phoneticPr fontId="1"/>
  </si>
  <si>
    <t>２回目</t>
    <rPh sb="1" eb="3">
      <t>カイメ</t>
    </rPh>
    <phoneticPr fontId="1"/>
  </si>
  <si>
    <t>振替休日（元日）</t>
    <rPh sb="0" eb="2">
      <t>フリカエ</t>
    </rPh>
    <rPh sb="2" eb="4">
      <t>キュウジツ</t>
    </rPh>
    <rPh sb="5" eb="7">
      <t>ガンジツ</t>
    </rPh>
    <phoneticPr fontId="1"/>
  </si>
  <si>
    <t>振替休日（建国記念の日）</t>
    <rPh sb="0" eb="4">
      <t>フリカエキュウジツ</t>
    </rPh>
    <rPh sb="5" eb="9">
      <t>ケンコクキネン</t>
    </rPh>
    <rPh sb="10" eb="11">
      <t>ヒ</t>
    </rPh>
    <phoneticPr fontId="1"/>
  </si>
  <si>
    <t>振替休日（天皇誕生日）</t>
    <rPh sb="0" eb="4">
      <t>フリカエキュウジツ</t>
    </rPh>
    <rPh sb="5" eb="10">
      <t>テンノウタンジョウビ</t>
    </rPh>
    <phoneticPr fontId="1"/>
  </si>
  <si>
    <t>振替休日（こどもの日）</t>
    <rPh sb="0" eb="4">
      <t>フリカエキュウジツ</t>
    </rPh>
    <rPh sb="9" eb="10">
      <t>ヒ</t>
    </rPh>
    <phoneticPr fontId="1"/>
  </si>
  <si>
    <t>振替休日（みどりの日）</t>
    <rPh sb="0" eb="4">
      <t>フリカエキュウジツ</t>
    </rPh>
    <rPh sb="9" eb="10">
      <t>ヒ</t>
    </rPh>
    <phoneticPr fontId="1"/>
  </si>
  <si>
    <t>敬老の日</t>
    <rPh sb="0" eb="2">
      <t>ケイロウ</t>
    </rPh>
    <rPh sb="3" eb="4">
      <t>ヒ</t>
    </rPh>
    <phoneticPr fontId="1"/>
  </si>
  <si>
    <t>海の日</t>
    <rPh sb="0" eb="1">
      <t>ウミ</t>
    </rPh>
    <rPh sb="2" eb="3">
      <t>ヒ</t>
    </rPh>
    <phoneticPr fontId="1"/>
  </si>
  <si>
    <t>山の日</t>
    <rPh sb="0" eb="1">
      <t>ヤマ</t>
    </rPh>
    <rPh sb="2" eb="3">
      <t>ヒ</t>
    </rPh>
    <phoneticPr fontId="1"/>
  </si>
  <si>
    <t>振替休日（山の日）</t>
    <rPh sb="0" eb="4">
      <t>フリカエキュウジツ</t>
    </rPh>
    <rPh sb="5" eb="6">
      <t>ヤマ</t>
    </rPh>
    <rPh sb="7" eb="8">
      <t>ヒ</t>
    </rPh>
    <phoneticPr fontId="1"/>
  </si>
  <si>
    <t>秋分の日</t>
    <rPh sb="0" eb="2">
      <t>シュウブン</t>
    </rPh>
    <rPh sb="3" eb="4">
      <t>ヒ</t>
    </rPh>
    <phoneticPr fontId="1"/>
  </si>
  <si>
    <t>振替休日（秋分の日）</t>
    <rPh sb="0" eb="4">
      <t>フリカエキュウジツ</t>
    </rPh>
    <rPh sb="5" eb="7">
      <t>シュウブン</t>
    </rPh>
    <rPh sb="8" eb="9">
      <t>ヒ</t>
    </rPh>
    <phoneticPr fontId="1"/>
  </si>
  <si>
    <t>スポーツの日</t>
    <rPh sb="5" eb="6">
      <t>ヒ</t>
    </rPh>
    <phoneticPr fontId="1"/>
  </si>
  <si>
    <t>文化の日</t>
    <rPh sb="0" eb="2">
      <t>ブンカ</t>
    </rPh>
    <rPh sb="3" eb="4">
      <t>ヒ</t>
    </rPh>
    <phoneticPr fontId="1"/>
  </si>
  <si>
    <t>振替休日（勤労感謝の日）</t>
    <rPh sb="0" eb="4">
      <t>フリカエキュウジツ</t>
    </rPh>
    <rPh sb="5" eb="9">
      <t>キンロウカンシャ</t>
    </rPh>
    <rPh sb="10" eb="11">
      <t>ヒ</t>
    </rPh>
    <phoneticPr fontId="1"/>
  </si>
  <si>
    <t>振替休日（文化の日）</t>
    <rPh sb="0" eb="10">
      <t>フリカエキュウジツ</t>
    </rPh>
    <phoneticPr fontId="1"/>
  </si>
  <si>
    <t>勤労感謝の日</t>
    <rPh sb="0" eb="4">
      <t>キンロウカンシャ</t>
    </rPh>
    <rPh sb="5" eb="6">
      <t>ヒ</t>
    </rPh>
    <phoneticPr fontId="1"/>
  </si>
  <si>
    <t>施設種別：</t>
    <rPh sb="0" eb="4">
      <t>シセツシュベツ</t>
    </rPh>
    <phoneticPr fontId="1"/>
  </si>
  <si>
    <t>経過措置</t>
    <rPh sb="0" eb="4">
      <t>ケイカソチ</t>
    </rPh>
    <phoneticPr fontId="1"/>
  </si>
  <si>
    <t>↑
幼保連携型認定こども園の資格要件に係る経過措置</t>
    <rPh sb="2" eb="7">
      <t>ヨウホレンケイガタ</t>
    </rPh>
    <rPh sb="7" eb="9">
      <t>ニンテイ</t>
    </rPh>
    <rPh sb="12" eb="13">
      <t>エン</t>
    </rPh>
    <rPh sb="14" eb="16">
      <t>シカク</t>
    </rPh>
    <rPh sb="16" eb="18">
      <t>ヨウケン</t>
    </rPh>
    <rPh sb="19" eb="20">
      <t>カカ</t>
    </rPh>
    <rPh sb="21" eb="25">
      <t>ケイカソチ</t>
    </rPh>
    <phoneticPr fontId="1"/>
  </si>
  <si>
    <t>副園長・教頭</t>
    <rPh sb="0" eb="3">
      <t>フクエンチョウ</t>
    </rPh>
    <rPh sb="4" eb="6">
      <t>キョウトウ</t>
    </rPh>
    <phoneticPr fontId="1"/>
  </si>
  <si>
    <t>-</t>
    <phoneticPr fontId="1"/>
  </si>
  <si>
    <t>-</t>
    <phoneticPr fontId="1"/>
  </si>
  <si>
    <t>市外</t>
    <rPh sb="0" eb="2">
      <t>シガイ</t>
    </rPh>
    <phoneticPr fontId="1"/>
  </si>
  <si>
    <t>教育</t>
    <rPh sb="0" eb="2">
      <t>キョウイク</t>
    </rPh>
    <phoneticPr fontId="1"/>
  </si>
  <si>
    <t>-</t>
    <phoneticPr fontId="1"/>
  </si>
  <si>
    <t>-</t>
    <phoneticPr fontId="1"/>
  </si>
  <si>
    <t>-</t>
    <phoneticPr fontId="1"/>
  </si>
  <si>
    <t>主幹</t>
    <rPh sb="0" eb="2">
      <t>シュカン</t>
    </rPh>
    <phoneticPr fontId="1"/>
  </si>
  <si>
    <t>主幹代替</t>
    <rPh sb="0" eb="4">
      <t>シュカンダイタイ</t>
    </rPh>
    <phoneticPr fontId="1"/>
  </si>
  <si>
    <t>-</t>
    <phoneticPr fontId="1"/>
  </si>
  <si>
    <t>下限時間②→</t>
    <rPh sb="0" eb="2">
      <t>カゲン</t>
    </rPh>
    <rPh sb="2" eb="4">
      <t>ジカン</t>
    </rPh>
    <phoneticPr fontId="1"/>
  </si>
  <si>
    <t>下限時間①→</t>
    <rPh sb="0" eb="2">
      <t>カゲン</t>
    </rPh>
    <rPh sb="2" eb="4">
      <t>ジカン</t>
    </rPh>
    <phoneticPr fontId="1"/>
  </si>
  <si>
    <t>主幹</t>
  </si>
  <si>
    <t>主幹代替</t>
  </si>
  <si>
    <t>保育教諭</t>
    <rPh sb="0" eb="4">
      <t>ホイクキョウユ</t>
    </rPh>
    <phoneticPr fontId="1"/>
  </si>
  <si>
    <t>保育教諭(発令有)</t>
    <phoneticPr fontId="1"/>
  </si>
  <si>
    <t>保育教諭(発令有)常勤</t>
    <rPh sb="9" eb="11">
      <t>ジョウキン</t>
    </rPh>
    <phoneticPr fontId="1"/>
  </si>
  <si>
    <t>常勤保育教諭</t>
    <rPh sb="0" eb="6">
      <t>ジョウキンホイクキョウユ</t>
    </rPh>
    <phoneticPr fontId="1"/>
  </si>
  <si>
    <t>-</t>
    <phoneticPr fontId="1"/>
  </si>
  <si>
    <t>-</t>
    <phoneticPr fontId="1"/>
  </si>
  <si>
    <t>常勤事務員</t>
    <rPh sb="0" eb="2">
      <t>ジョウキン</t>
    </rPh>
    <phoneticPr fontId="1"/>
  </si>
  <si>
    <t>常勤事務員</t>
    <rPh sb="0" eb="5">
      <t>ジョウキンジムイン</t>
    </rPh>
    <phoneticPr fontId="1"/>
  </si>
  <si>
    <t>学校医</t>
    <rPh sb="0" eb="3">
      <t>ガッコウイ</t>
    </rPh>
    <phoneticPr fontId="1"/>
  </si>
  <si>
    <t>学校医</t>
    <rPh sb="0" eb="2">
      <t>ガッコウ</t>
    </rPh>
    <rPh sb="2" eb="3">
      <t>イ</t>
    </rPh>
    <phoneticPr fontId="1"/>
  </si>
  <si>
    <t>保育教諭※</t>
    <rPh sb="0" eb="4">
      <t>ホイクキョウユ</t>
    </rPh>
    <phoneticPr fontId="1"/>
  </si>
  <si>
    <t>教育補助者</t>
    <rPh sb="0" eb="2">
      <t>キョウイク</t>
    </rPh>
    <rPh sb="2" eb="5">
      <t>ホジョシャ</t>
    </rPh>
    <phoneticPr fontId="1"/>
  </si>
  <si>
    <t>　・　委託は「保育教諭（発令有）」のみ常勤換算数に含まれて計算されます。</t>
    <rPh sb="3" eb="5">
      <t>イタク</t>
    </rPh>
    <rPh sb="7" eb="11">
      <t>ホイクキョウユ</t>
    </rPh>
    <rPh sb="12" eb="15">
      <t>ハツレイアリ</t>
    </rPh>
    <rPh sb="19" eb="24">
      <t>ジョウキンカンサンスウ</t>
    </rPh>
    <rPh sb="25" eb="26">
      <t>フク</t>
    </rPh>
    <rPh sb="29" eb="31">
      <t>ケイサン</t>
    </rPh>
    <phoneticPr fontId="1"/>
  </si>
  <si>
    <t>副園長/教頭</t>
    <rPh sb="0" eb="3">
      <t>フクエンチョウ</t>
    </rPh>
    <rPh sb="4" eb="6">
      <t>キョウトウ</t>
    </rPh>
    <phoneticPr fontId="1"/>
  </si>
  <si>
    <t>教諭
補助者</t>
    <rPh sb="0" eb="2">
      <t>キョウユ</t>
    </rPh>
    <rPh sb="3" eb="6">
      <t>ホジョシャ</t>
    </rPh>
    <phoneticPr fontId="1"/>
  </si>
  <si>
    <t>↓申請人数</t>
    <rPh sb="1" eb="3">
      <t>シンセイ</t>
    </rPh>
    <rPh sb="3" eb="5">
      <t>ニンズウ</t>
    </rPh>
    <phoneticPr fontId="1"/>
  </si>
  <si>
    <t>(4) 加算対象職員数：(2)と(3)のうち小さい方</t>
    <rPh sb="22" eb="23">
      <t>チイ</t>
    </rPh>
    <rPh sb="25" eb="26">
      <t>ホウ</t>
    </rPh>
    <phoneticPr fontId="1"/>
  </si>
  <si>
    <t>-</t>
    <phoneticPr fontId="1"/>
  </si>
  <si>
    <t>年齢別配置基準を下回る場合</t>
    <phoneticPr fontId="1"/>
  </si>
  <si>
    <t>-</t>
    <phoneticPr fontId="1"/>
  </si>
  <si>
    <t>一時預かり事業補助金</t>
    <rPh sb="0" eb="2">
      <t>イチジ</t>
    </rPh>
    <rPh sb="2" eb="3">
      <t>アズ</t>
    </rPh>
    <rPh sb="5" eb="7">
      <t>ジギョウ</t>
    </rPh>
    <rPh sb="7" eb="10">
      <t>ホジョキン</t>
    </rPh>
    <phoneticPr fontId="1"/>
  </si>
  <si>
    <t>代替教諭等の人数…下記代替数と0.5のうち大きい方</t>
    <rPh sb="0" eb="2">
      <t>ダイガ</t>
    </rPh>
    <rPh sb="2" eb="4">
      <t>キョウユ</t>
    </rPh>
    <rPh sb="4" eb="5">
      <t>トウ</t>
    </rPh>
    <rPh sb="6" eb="8">
      <t>ニンズウ</t>
    </rPh>
    <rPh sb="9" eb="11">
      <t>カキ</t>
    </rPh>
    <rPh sb="11" eb="13">
      <t>ダイタイ</t>
    </rPh>
    <rPh sb="13" eb="14">
      <t>スウ</t>
    </rPh>
    <rPh sb="21" eb="22">
      <t>オオ</t>
    </rPh>
    <rPh sb="24" eb="25">
      <t>ホウ</t>
    </rPh>
    <phoneticPr fontId="1"/>
  </si>
  <si>
    <t>教育時間数/日</t>
    <rPh sb="0" eb="2">
      <t>キョウイク</t>
    </rPh>
    <rPh sb="2" eb="4">
      <t>ジカン</t>
    </rPh>
    <rPh sb="4" eb="5">
      <t>スウ</t>
    </rPh>
    <rPh sb="6" eb="7">
      <t>ニチ</t>
    </rPh>
    <phoneticPr fontId="1"/>
  </si>
  <si>
    <t>→</t>
    <phoneticPr fontId="1"/>
  </si>
  <si>
    <t>→</t>
    <phoneticPr fontId="1"/>
  </si>
  <si>
    <t>常勤職員の勤務時間数/日</t>
    <rPh sb="0" eb="2">
      <t>ジョウキン</t>
    </rPh>
    <rPh sb="2" eb="4">
      <t>ショクイン</t>
    </rPh>
    <rPh sb="5" eb="7">
      <t>キンム</t>
    </rPh>
    <rPh sb="7" eb="9">
      <t>ジカン</t>
    </rPh>
    <rPh sb="9" eb="10">
      <t>スウ</t>
    </rPh>
    <rPh sb="11" eb="12">
      <t>ニチ</t>
    </rPh>
    <phoneticPr fontId="1"/>
  </si>
  <si>
    <t>教育時間/勤務時間</t>
    <phoneticPr fontId="1"/>
  </si>
  <si>
    <t>主幹専任（保育）</t>
    <rPh sb="0" eb="4">
      <t>シュカンセンニン</t>
    </rPh>
    <rPh sb="5" eb="7">
      <t>ホイク</t>
    </rPh>
    <phoneticPr fontId="1"/>
  </si>
  <si>
    <t>主幹専任（教育）</t>
    <rPh sb="0" eb="4">
      <t>シュカンセンニン</t>
    </rPh>
    <rPh sb="5" eb="7">
      <t>キョウイク</t>
    </rPh>
    <phoneticPr fontId="1"/>
  </si>
  <si>
    <t>学級編制調整加配</t>
    <rPh sb="0" eb="2">
      <t>ガッキュウ</t>
    </rPh>
    <rPh sb="2" eb="4">
      <t>ヘンセイ</t>
    </rPh>
    <rPh sb="4" eb="6">
      <t>チョウセイ</t>
    </rPh>
    <rPh sb="6" eb="8">
      <t>カハイ</t>
    </rPh>
    <phoneticPr fontId="1"/>
  </si>
  <si>
    <t>副園長加算</t>
    <rPh sb="0" eb="1">
      <t>フク</t>
    </rPh>
    <phoneticPr fontId="1"/>
  </si>
  <si>
    <t>園長非専従の場合は幼稚園設置基準第５条第３項に規定する教諭１人</t>
    <rPh sb="6" eb="8">
      <t>バアイ</t>
    </rPh>
    <rPh sb="30" eb="31">
      <t>ニン</t>
    </rPh>
    <phoneticPr fontId="1"/>
  </si>
  <si>
    <t>講師配置加算</t>
    <rPh sb="0" eb="6">
      <t>コウシハイチカサン</t>
    </rPh>
    <phoneticPr fontId="1"/>
  </si>
  <si>
    <t>指導充実加配加算</t>
    <rPh sb="0" eb="8">
      <t>シドウジュウジツカハイカサン</t>
    </rPh>
    <phoneticPr fontId="1"/>
  </si>
  <si>
    <t>事務負担対応加配加算</t>
    <rPh sb="0" eb="8">
      <t>ジムフタンタイオウカハイ</t>
    </rPh>
    <rPh sb="8" eb="10">
      <t>カサン</t>
    </rPh>
    <phoneticPr fontId="1"/>
  </si>
  <si>
    <t>学校医</t>
    <rPh sb="0" eb="2">
      <t>ガッコウ</t>
    </rPh>
    <rPh sb="2" eb="3">
      <t>イ</t>
    </rPh>
    <phoneticPr fontId="1"/>
  </si>
  <si>
    <t>学校医（基本配置）</t>
    <rPh sb="0" eb="3">
      <t>ガッコウイ</t>
    </rPh>
    <rPh sb="4" eb="8">
      <t>キホンハイチ</t>
    </rPh>
    <phoneticPr fontId="1"/>
  </si>
  <si>
    <t>(1) ア＋イ-ウ</t>
    <phoneticPr fontId="1"/>
  </si>
  <si>
    <t>チーム保育加配加算を除外した必要数…ウ</t>
    <phoneticPr fontId="1"/>
  </si>
  <si>
    <t>対象職員分計上（教育補助者除く）</t>
    <rPh sb="0" eb="4">
      <t>タイショウショクイン</t>
    </rPh>
    <rPh sb="4" eb="5">
      <t>ブン</t>
    </rPh>
    <rPh sb="5" eb="7">
      <t>ケイジョウ</t>
    </rPh>
    <rPh sb="8" eb="14">
      <t>キョウイクホジョシャノゾ</t>
    </rPh>
    <phoneticPr fontId="1"/>
  </si>
  <si>
    <t>０歳児(乳児)</t>
    <rPh sb="1" eb="2">
      <t>サイ</t>
    </rPh>
    <rPh sb="2" eb="3">
      <t>ジ</t>
    </rPh>
    <rPh sb="4" eb="6">
      <t>ニュウジ</t>
    </rPh>
    <phoneticPr fontId="1"/>
  </si>
  <si>
    <t>【歳児】</t>
    <rPh sb="1" eb="3">
      <t>サイジ</t>
    </rPh>
    <phoneticPr fontId="1"/>
  </si>
  <si>
    <t>【配置基準】</t>
    <rPh sb="1" eb="5">
      <t>ハイチキジュン</t>
    </rPh>
    <phoneticPr fontId="1"/>
  </si>
  <si>
    <t>➡</t>
    <phoneticPr fontId="1"/>
  </si>
  <si>
    <t>【本園】</t>
    <rPh sb="1" eb="3">
      <t>ホンエン</t>
    </rPh>
    <phoneticPr fontId="1"/>
  </si>
  <si>
    <t>【分園】</t>
    <rPh sb="1" eb="3">
      <t>ブンエン</t>
    </rPh>
    <phoneticPr fontId="1"/>
  </si>
  <si>
    <t>-</t>
    <phoneticPr fontId="1"/>
  </si>
  <si>
    <t>←幼稚部</t>
    <rPh sb="1" eb="4">
      <t>ヨウチブ</t>
    </rPh>
    <rPh sb="3" eb="4">
      <t>ブ</t>
    </rPh>
    <phoneticPr fontId="1"/>
  </si>
  <si>
    <t>←保育部（本園）</t>
    <rPh sb="1" eb="4">
      <t>ホイクブ</t>
    </rPh>
    <rPh sb="5" eb="7">
      <t>ホンエン</t>
    </rPh>
    <phoneticPr fontId="1"/>
  </si>
  <si>
    <t>←保育部（分園）</t>
    <rPh sb="1" eb="3">
      <t>ホイク</t>
    </rPh>
    <rPh sb="3" eb="4">
      <t>ブ</t>
    </rPh>
    <rPh sb="5" eb="7">
      <t>ブンエン</t>
    </rPh>
    <phoneticPr fontId="1"/>
  </si>
  <si>
    <t>下限調整あり②</t>
    <rPh sb="0" eb="4">
      <t>カゲンチョウセイ</t>
    </rPh>
    <phoneticPr fontId="1"/>
  </si>
  <si>
    <t>チーム保育加配加算</t>
    <rPh sb="3" eb="5">
      <t>ホイク</t>
    </rPh>
    <rPh sb="5" eb="9">
      <t>カハイカサン</t>
    </rPh>
    <phoneticPr fontId="1"/>
  </si>
  <si>
    <t>給食の実施予定数※2→</t>
    <rPh sb="0" eb="2">
      <t>キュウショク</t>
    </rPh>
    <rPh sb="3" eb="5">
      <t>ジッシ</t>
    </rPh>
    <rPh sb="5" eb="7">
      <t>ヨテイ</t>
    </rPh>
    <rPh sb="7" eb="8">
      <t>スウ</t>
    </rPh>
    <phoneticPr fontId="1"/>
  </si>
  <si>
    <t>※</t>
    <phoneticPr fontId="1"/>
  </si>
  <si>
    <t>【確認】調理員の配置状況(様式5)</t>
    <rPh sb="0" eb="4">
      <t>「カクニン」</t>
    </rPh>
    <rPh sb="13" eb="15">
      <t>ヨウシキ</t>
    </rPh>
    <phoneticPr fontId="1"/>
  </si>
  <si>
    <t>直接雇用している
(栄養管理(配置)を除く。)</t>
    <rPh sb="0" eb="2">
      <t>チョクセツ</t>
    </rPh>
    <rPh sb="2" eb="4">
      <t>コヨウ</t>
    </rPh>
    <phoneticPr fontId="1"/>
  </si>
  <si>
    <t>-</t>
    <phoneticPr fontId="1"/>
  </si>
  <si>
    <t>業務委託</t>
    <phoneticPr fontId="1"/>
  </si>
  <si>
    <t>-</t>
    <phoneticPr fontId="1"/>
  </si>
  <si>
    <t>-</t>
    <phoneticPr fontId="1"/>
  </si>
  <si>
    <t>-</t>
    <phoneticPr fontId="1"/>
  </si>
  <si>
    <t>-</t>
    <phoneticPr fontId="1"/>
  </si>
  <si>
    <t>-</t>
    <phoneticPr fontId="1"/>
  </si>
  <si>
    <t>-</t>
    <phoneticPr fontId="1"/>
  </si>
  <si>
    <t>業務委託</t>
    <rPh sb="0" eb="4">
      <t>ギョウムイタク</t>
    </rPh>
    <phoneticPr fontId="1"/>
  </si>
  <si>
    <t>-</t>
    <phoneticPr fontId="1"/>
  </si>
  <si>
    <t>-</t>
    <phoneticPr fontId="1"/>
  </si>
  <si>
    <t>※2　対象となる子どもは、原則、休日等に常態的に保育を必要とする保育認定子どもであること</t>
    <phoneticPr fontId="1"/>
  </si>
  <si>
    <t>※3　延べ利用子ども数は、1人の子どもが月4日利用した場合は4名と計算すること。</t>
    <rPh sb="3" eb="4">
      <t>ノ</t>
    </rPh>
    <rPh sb="5" eb="7">
      <t>リヨウ</t>
    </rPh>
    <rPh sb="7" eb="8">
      <t>コ</t>
    </rPh>
    <rPh sb="10" eb="11">
      <t>スウ</t>
    </rPh>
    <rPh sb="14" eb="15">
      <t>ヒト</t>
    </rPh>
    <rPh sb="16" eb="17">
      <t>コ</t>
    </rPh>
    <rPh sb="20" eb="21">
      <t>ツキ</t>
    </rPh>
    <rPh sb="22" eb="23">
      <t>ニチ</t>
    </rPh>
    <rPh sb="23" eb="25">
      <t>リヨウ</t>
    </rPh>
    <rPh sb="27" eb="29">
      <t>バアイ</t>
    </rPh>
    <rPh sb="31" eb="32">
      <t>メイ</t>
    </rPh>
    <rPh sb="33" eb="35">
      <t>ケイサン</t>
    </rPh>
    <phoneticPr fontId="1"/>
  </si>
  <si>
    <t>※4　休日延べ利用子ども数には、休日等に当該休日保育対象施設を利用する休日保育対象施設以外の特定教育・保育施設又は特定地域型保育事業を利用する子どもを含むこと</t>
    <rPh sb="3" eb="5">
      <t>キュウジツ</t>
    </rPh>
    <rPh sb="5" eb="6">
      <t>ノ</t>
    </rPh>
    <rPh sb="7" eb="9">
      <t>リヨウ</t>
    </rPh>
    <rPh sb="9" eb="10">
      <t>コ</t>
    </rPh>
    <rPh sb="12" eb="13">
      <t>スウ</t>
    </rPh>
    <rPh sb="16" eb="18">
      <t>キュウジツ</t>
    </rPh>
    <rPh sb="18" eb="19">
      <t>トウ</t>
    </rPh>
    <rPh sb="20" eb="22">
      <t>トウガイ</t>
    </rPh>
    <rPh sb="22" eb="24">
      <t>キュウジツ</t>
    </rPh>
    <rPh sb="24" eb="26">
      <t>ホイク</t>
    </rPh>
    <rPh sb="26" eb="28">
      <t>タイショウ</t>
    </rPh>
    <rPh sb="28" eb="30">
      <t>シセツ</t>
    </rPh>
    <rPh sb="31" eb="33">
      <t>リヨウ</t>
    </rPh>
    <rPh sb="35" eb="37">
      <t>キュウジツ</t>
    </rPh>
    <rPh sb="37" eb="39">
      <t>ホイク</t>
    </rPh>
    <rPh sb="39" eb="41">
      <t>タイショウ</t>
    </rPh>
    <rPh sb="41" eb="43">
      <t>シセツ</t>
    </rPh>
    <rPh sb="43" eb="45">
      <t>イガイ</t>
    </rPh>
    <phoneticPr fontId="1"/>
  </si>
  <si>
    <t>※5　共同保育を実施する場合は、実施する各施設の休日延べ利用子ども数の見込み数を含めること</t>
    <rPh sb="3" eb="5">
      <t>キョウドウ</t>
    </rPh>
    <rPh sb="5" eb="7">
      <t>ホイク</t>
    </rPh>
    <rPh sb="8" eb="10">
      <t>ジッシ</t>
    </rPh>
    <rPh sb="12" eb="14">
      <t>バアイ</t>
    </rPh>
    <rPh sb="16" eb="18">
      <t>ジッシ</t>
    </rPh>
    <rPh sb="20" eb="23">
      <t>カクシセツ</t>
    </rPh>
    <rPh sb="24" eb="26">
      <t>キュウジツ</t>
    </rPh>
    <rPh sb="26" eb="27">
      <t>ノ</t>
    </rPh>
    <rPh sb="28" eb="30">
      <t>リヨウ</t>
    </rPh>
    <rPh sb="30" eb="31">
      <t>コ</t>
    </rPh>
    <rPh sb="33" eb="34">
      <t>スウ</t>
    </rPh>
    <rPh sb="35" eb="37">
      <t>ミコ</t>
    </rPh>
    <rPh sb="38" eb="39">
      <t>スウ</t>
    </rPh>
    <rPh sb="40" eb="41">
      <t>フク</t>
    </rPh>
    <phoneticPr fontId="1"/>
  </si>
  <si>
    <t>加算要件
（１～３のいずれかの要件を満たさない場合に減算）</t>
    <rPh sb="0" eb="2">
      <t>カサン</t>
    </rPh>
    <rPh sb="2" eb="4">
      <t>ヨウケン</t>
    </rPh>
    <phoneticPr fontId="1"/>
  </si>
  <si>
    <t>非常勤講師※を配置し、職員配置を充足している（様式5）</t>
    <rPh sb="0" eb="3">
      <t>ヒジョウキン</t>
    </rPh>
    <rPh sb="3" eb="5">
      <t>コウシ</t>
    </rPh>
    <rPh sb="7" eb="9">
      <t>ハイチ</t>
    </rPh>
    <rPh sb="11" eb="13">
      <t>ショクイン</t>
    </rPh>
    <rPh sb="13" eb="15">
      <t>ハイチ</t>
    </rPh>
    <rPh sb="16" eb="18">
      <t>ジュウソク</t>
    </rPh>
    <rPh sb="23" eb="25">
      <t>ヨウシキ</t>
    </rPh>
    <phoneticPr fontId="1"/>
  </si>
  <si>
    <t>① 登記の写し(建物が自己所有であることがわかるもの)</t>
    <rPh sb="2" eb="4">
      <t>トウキ</t>
    </rPh>
    <rPh sb="5" eb="6">
      <t>ウツ</t>
    </rPh>
    <rPh sb="8" eb="10">
      <t>タテモノ</t>
    </rPh>
    <rPh sb="11" eb="13">
      <t>ジコ</t>
    </rPh>
    <rPh sb="13" eb="15">
      <t>ショユウ</t>
    </rPh>
    <phoneticPr fontId="1"/>
  </si>
  <si>
    <t>　賃貸借契約書の写し(年度を通じて賃借料が発生し、第三者と賃貸契約を結んでいることがわかるもの)</t>
    <rPh sb="1" eb="4">
      <t>チンタイシャク</t>
    </rPh>
    <rPh sb="4" eb="7">
      <t>ケイヤクショ</t>
    </rPh>
    <rPh sb="8" eb="9">
      <t>ウツ</t>
    </rPh>
    <rPh sb="11" eb="13">
      <t>ネンド</t>
    </rPh>
    <rPh sb="14" eb="15">
      <t>ツウ</t>
    </rPh>
    <rPh sb="17" eb="20">
      <t>チンシャクリョウ</t>
    </rPh>
    <rPh sb="21" eb="23">
      <t>ハッセイ</t>
    </rPh>
    <rPh sb="25" eb="28">
      <t>ダイサンシャ</t>
    </rPh>
    <rPh sb="29" eb="31">
      <t>チンタイ</t>
    </rPh>
    <rPh sb="31" eb="33">
      <t>ケイヤク</t>
    </rPh>
    <rPh sb="34" eb="35">
      <t>ムス</t>
    </rPh>
    <phoneticPr fontId="1"/>
  </si>
  <si>
    <t>①　事業要件のうち１に該当し、私学助成の預かり保育事業を行っている場合は、平均対象児童数が20人を年度で始めて超える月の利用延べ利用数が分かる書類(利用状況表等)</t>
    <rPh sb="2" eb="4">
      <t>ジギョウ</t>
    </rPh>
    <rPh sb="4" eb="6">
      <t>ヨウケン</t>
    </rPh>
    <rPh sb="11" eb="13">
      <t>ガイトウ</t>
    </rPh>
    <rPh sb="15" eb="17">
      <t>シガク</t>
    </rPh>
    <rPh sb="17" eb="19">
      <t>ジョセイ</t>
    </rPh>
    <rPh sb="20" eb="21">
      <t>アズ</t>
    </rPh>
    <rPh sb="23" eb="25">
      <t>ホイク</t>
    </rPh>
    <rPh sb="25" eb="27">
      <t>ジギョウ</t>
    </rPh>
    <rPh sb="28" eb="29">
      <t>オコナ</t>
    </rPh>
    <rPh sb="33" eb="35">
      <t>バアイ</t>
    </rPh>
    <rPh sb="37" eb="39">
      <t>ヘイキン</t>
    </rPh>
    <rPh sb="39" eb="41">
      <t>タイショウ</t>
    </rPh>
    <rPh sb="41" eb="43">
      <t>ジドウ</t>
    </rPh>
    <rPh sb="43" eb="44">
      <t>スウ</t>
    </rPh>
    <rPh sb="47" eb="48">
      <t>ニン</t>
    </rPh>
    <rPh sb="49" eb="51">
      <t>ネンド</t>
    </rPh>
    <rPh sb="52" eb="53">
      <t>ハジ</t>
    </rPh>
    <rPh sb="55" eb="56">
      <t>コ</t>
    </rPh>
    <rPh sb="58" eb="59">
      <t>ツキ</t>
    </rPh>
    <rPh sb="60" eb="62">
      <t>リヨウ</t>
    </rPh>
    <rPh sb="62" eb="63">
      <t>ノ</t>
    </rPh>
    <rPh sb="64" eb="66">
      <t>リヨウ</t>
    </rPh>
    <rPh sb="66" eb="67">
      <t>スウ</t>
    </rPh>
    <rPh sb="68" eb="69">
      <t>ワ</t>
    </rPh>
    <rPh sb="71" eb="73">
      <t>ショルイ</t>
    </rPh>
    <rPh sb="74" eb="76">
      <t>リヨウ</t>
    </rPh>
    <rPh sb="76" eb="78">
      <t>ジョウキョウ</t>
    </rPh>
    <rPh sb="78" eb="79">
      <t>ヒョウ</t>
    </rPh>
    <rPh sb="79" eb="80">
      <t>トウ</t>
    </rPh>
    <phoneticPr fontId="1"/>
  </si>
  <si>
    <t>③　以下の(1)～(5)のいずれかが施設で実施されていることが分かる書面又はホームページの写し。園の掲示物の場合は掲示状況等がわかる説明文書及び写真を添付すること。
(1)　子育てサロン、子育て広場等の交流の場の提供
  年度内に実施が予定されている場合は、年度当初から実施されているものとみなす
(2)　子育て等に関する相談・援助
　園外の児童等も受け付けていることが明示されていること。また、加算対象月初日から受付けていることが明示されていること
(3)　地域の子育て関連情報の提供
　園内及び園外向けの季刊誌等の発行を想定し、年に複数回発行を予定している場合は、年度当初から実施されているものとみなす。なお、園内向けの園だより等は不可
(4)　子育て及び子育て支援に関する講習等
　年度内に実施が予定されている場合は、年度当初から実施されているものとみなす
(5)　その他地域子育て支援活動と認められるもの
　事前に個別相談し認められた事業等。</t>
    <phoneticPr fontId="1"/>
  </si>
  <si>
    <t xml:space="preserve">③　以下の療育支援が施設で実施されていることが分かる書面又はホームページの写し。園の掲示物の場合は掲示状況等がわかる説明文書及び写真を添付すること。
（1）障がい児支援・相談支援に係る給付※への連携・接続により、専門性の強化・障がい支援の充実
（相談票や事務分掌表、パンフレット等により、※で例示した支援施策との連携・接続が明示されていること。年度内に実施が予定されている場合は、年度当初から実施されているものみなす。）
　※通所系(児童発達支援、医療型児童発達支援、放課後等デイサービス)、訪問系(保育所等訪問支援)、入所系(福祉型障害児入所施設、医療型障害児入所施設）、相談支援系（計画相談支援、障害児相談支援）
（2）障がい児に係る子育て等に関する相談・援助
（園外の障がい児童等も受け付けていることが明示されていること。また、加算対象月初日から受付けていることが明示されていること）
</t>
    <phoneticPr fontId="1"/>
  </si>
  <si>
    <t>a</t>
    <phoneticPr fontId="1"/>
  </si>
  <si>
    <t>b</t>
    <phoneticPr fontId="1"/>
  </si>
  <si>
    <t>イ</t>
    <phoneticPr fontId="1"/>
  </si>
  <si>
    <t>①　様式2及び様式5</t>
    <rPh sb="2" eb="4">
      <t>ヨウシキ</t>
    </rPh>
    <rPh sb="5" eb="6">
      <t>オヨ</t>
    </rPh>
    <rPh sb="7" eb="9">
      <t>ヨウシキ</t>
    </rPh>
    <phoneticPr fontId="1"/>
  </si>
  <si>
    <t>加算要件
（１～3の要件全てに該当している場合に加算）</t>
    <rPh sb="0" eb="2">
      <t>カサン</t>
    </rPh>
    <rPh sb="2" eb="4">
      <t>ヨウケン</t>
    </rPh>
    <phoneticPr fontId="1"/>
  </si>
  <si>
    <t>札幌市子ども未来局等と協議し利用定員等の見直しを行った。</t>
    <rPh sb="0" eb="3">
      <t>サッポロシ</t>
    </rPh>
    <rPh sb="3" eb="4">
      <t>コ</t>
    </rPh>
    <rPh sb="6" eb="8">
      <t>ミライ</t>
    </rPh>
    <rPh sb="8" eb="9">
      <t>キョク</t>
    </rPh>
    <rPh sb="9" eb="10">
      <t>トウ</t>
    </rPh>
    <rPh sb="11" eb="13">
      <t>キョウギ</t>
    </rPh>
    <rPh sb="14" eb="16">
      <t>リヨウ</t>
    </rPh>
    <rPh sb="16" eb="18">
      <t>テイイン</t>
    </rPh>
    <rPh sb="18" eb="19">
      <t>トウ</t>
    </rPh>
    <rPh sb="20" eb="22">
      <t>ミナオ</t>
    </rPh>
    <rPh sb="24" eb="25">
      <t>オコナ</t>
    </rPh>
    <phoneticPr fontId="1"/>
  </si>
  <si>
    <t>協議年月日</t>
    <rPh sb="0" eb="2">
      <t>キョウギ</t>
    </rPh>
    <rPh sb="2" eb="3">
      <t>ネン</t>
    </rPh>
    <rPh sb="3" eb="4">
      <t>ツキ</t>
    </rPh>
    <rPh sb="4" eb="5">
      <t>ニチ</t>
    </rPh>
    <phoneticPr fontId="1"/>
  </si>
  <si>
    <t>見直し内容</t>
    <rPh sb="0" eb="2">
      <t>ミナオ</t>
    </rPh>
    <rPh sb="3" eb="5">
      <t>ナイヨウ</t>
    </rPh>
    <phoneticPr fontId="1"/>
  </si>
  <si>
    <t>協議先</t>
    <rPh sb="0" eb="3">
      <t>キョウギサキ</t>
    </rPh>
    <phoneticPr fontId="1"/>
  </si>
  <si>
    <t>①　別紙6－1（減算解除開始月の加算調整項目申請書提出時に提出すること）</t>
    <rPh sb="2" eb="4">
      <t>ベッシ</t>
    </rPh>
    <rPh sb="8" eb="15">
      <t>ゲンサンカイジョカイシツキ</t>
    </rPh>
    <rPh sb="16" eb="22">
      <t>カサンチョウセイコウモク</t>
    </rPh>
    <rPh sb="22" eb="25">
      <t>シンセイショ</t>
    </rPh>
    <rPh sb="25" eb="28">
      <t>テイシュツジ</t>
    </rPh>
    <rPh sb="29" eb="31">
      <t>テイシュツ</t>
    </rPh>
    <phoneticPr fontId="1"/>
  </si>
  <si>
    <t>②　別紙6－2（3月の加算調整項目申請書提出時に提出すること）</t>
    <rPh sb="9" eb="10">
      <t>ガツ</t>
    </rPh>
    <rPh sb="11" eb="20">
      <t>カサンチョウセイコウモクシンセイショ</t>
    </rPh>
    <rPh sb="20" eb="23">
      <t>テイシュツジ</t>
    </rPh>
    <rPh sb="24" eb="26">
      <t>テイシュツ</t>
    </rPh>
    <phoneticPr fontId="1"/>
  </si>
  <si>
    <t xml:space="preserve">私立認可保育所等に対する各種補助金
</t>
    <rPh sb="0" eb="2">
      <t>シリツ</t>
    </rPh>
    <rPh sb="2" eb="4">
      <t>ニンカ</t>
    </rPh>
    <rPh sb="4" eb="6">
      <t>ホイク</t>
    </rPh>
    <rPh sb="6" eb="7">
      <t>ショ</t>
    </rPh>
    <rPh sb="7" eb="8">
      <t>トウ</t>
    </rPh>
    <rPh sb="9" eb="10">
      <t>タイ</t>
    </rPh>
    <rPh sb="12" eb="14">
      <t>カクシュ</t>
    </rPh>
    <rPh sb="14" eb="17">
      <t>ホジョキン</t>
    </rPh>
    <phoneticPr fontId="1"/>
  </si>
  <si>
    <t>調理員パ－ト雇用費補助金</t>
    <phoneticPr fontId="1"/>
  </si>
  <si>
    <t>特例④</t>
    <rPh sb="0" eb="2">
      <t>トクレイ</t>
    </rPh>
    <phoneticPr fontId="1"/>
  </si>
  <si>
    <t>別紙２（「減算：土曜日に閉所する場合」の添付書類）</t>
    <rPh sb="0" eb="2">
      <t>ベッシ</t>
    </rPh>
    <rPh sb="5" eb="7">
      <t>ゲンサン</t>
    </rPh>
    <rPh sb="8" eb="11">
      <t>ドヨウビ</t>
    </rPh>
    <rPh sb="12" eb="14">
      <t>ヘイショ</t>
    </rPh>
    <rPh sb="16" eb="18">
      <t>バアイ</t>
    </rPh>
    <rPh sb="20" eb="22">
      <t>テンプ</t>
    </rPh>
    <rPh sb="22" eb="24">
      <t>ショルイ</t>
    </rPh>
    <phoneticPr fontId="1"/>
  </si>
  <si>
    <t>別紙３（「加算：休日保育加算」の添付書類）</t>
    <rPh sb="0" eb="2">
      <t>ベッシ</t>
    </rPh>
    <rPh sb="5" eb="7">
      <t>カサン</t>
    </rPh>
    <rPh sb="8" eb="10">
      <t>キュウジツ</t>
    </rPh>
    <rPh sb="10" eb="12">
      <t>ホイク</t>
    </rPh>
    <rPh sb="12" eb="14">
      <t>カサン</t>
    </rPh>
    <rPh sb="16" eb="18">
      <t>テンプ</t>
    </rPh>
    <rPh sb="18" eb="20">
      <t>ショルイ</t>
    </rPh>
    <phoneticPr fontId="1"/>
  </si>
  <si>
    <t>(0)　（前月分を作成済みの場合）ファイルをコピーして別名で保存</t>
    <rPh sb="5" eb="6">
      <t>ゼン</t>
    </rPh>
    <rPh sb="6" eb="7">
      <t>ツキ</t>
    </rPh>
    <rPh sb="7" eb="8">
      <t>ブン</t>
    </rPh>
    <rPh sb="9" eb="11">
      <t>サクセイ</t>
    </rPh>
    <rPh sb="11" eb="12">
      <t>ズ</t>
    </rPh>
    <rPh sb="14" eb="16">
      <t>バアイ</t>
    </rPh>
    <rPh sb="27" eb="29">
      <t>ベツメイ</t>
    </rPh>
    <rPh sb="30" eb="32">
      <t>ホゾン</t>
    </rPh>
    <phoneticPr fontId="1"/>
  </si>
  <si>
    <t>(3)　別紙1～7：必要に応じて入力</t>
    <rPh sb="4" eb="6">
      <t>ベッシ</t>
    </rPh>
    <rPh sb="10" eb="12">
      <t>ヒツヨウ</t>
    </rPh>
    <rPh sb="13" eb="14">
      <t>オウ</t>
    </rPh>
    <rPh sb="16" eb="18">
      <t>ニュウリョク</t>
    </rPh>
    <phoneticPr fontId="1"/>
  </si>
  <si>
    <t>(7)　様式5：初日児童数、基本配置・加算・補助金対象職員選択</t>
    <rPh sb="4" eb="6">
      <t>ヨウシキ</t>
    </rPh>
    <rPh sb="8" eb="10">
      <t>ショニチ</t>
    </rPh>
    <rPh sb="10" eb="12">
      <t>ジドウ</t>
    </rPh>
    <rPh sb="12" eb="13">
      <t>スウ</t>
    </rPh>
    <rPh sb="14" eb="16">
      <t>キホン</t>
    </rPh>
    <rPh sb="16" eb="18">
      <t>ハイチ</t>
    </rPh>
    <rPh sb="19" eb="21">
      <t>カサン</t>
    </rPh>
    <rPh sb="22" eb="25">
      <t>ホジョキン</t>
    </rPh>
    <rPh sb="25" eb="27">
      <t>タイショウ</t>
    </rPh>
    <rPh sb="27" eb="29">
      <t>ショクイン</t>
    </rPh>
    <rPh sb="29" eb="31">
      <t>センタク</t>
    </rPh>
    <phoneticPr fontId="1"/>
  </si>
  <si>
    <t>(8)　様式1：様式2～5入力後に選択できる箇所が一部あるため再度確認(チーム保育加配等)</t>
    <rPh sb="4" eb="6">
      <t>ヨウシキ</t>
    </rPh>
    <rPh sb="8" eb="10">
      <t>ヨウシキ</t>
    </rPh>
    <rPh sb="13" eb="15">
      <t>ニュウリョク</t>
    </rPh>
    <rPh sb="15" eb="16">
      <t>ゴ</t>
    </rPh>
    <rPh sb="17" eb="19">
      <t>センタク</t>
    </rPh>
    <rPh sb="22" eb="24">
      <t>カショ</t>
    </rPh>
    <rPh sb="25" eb="27">
      <t>イチブ</t>
    </rPh>
    <rPh sb="31" eb="33">
      <t>サイド</t>
    </rPh>
    <rPh sb="33" eb="35">
      <t>カクニン</t>
    </rPh>
    <rPh sb="39" eb="41">
      <t>ホイク</t>
    </rPh>
    <rPh sb="41" eb="43">
      <t>カハイ</t>
    </rPh>
    <rPh sb="43" eb="44">
      <t>トウ</t>
    </rPh>
    <phoneticPr fontId="1"/>
  </si>
  <si>
    <t>保認</t>
    <rPh sb="0" eb="1">
      <t>ホ</t>
    </rPh>
    <rPh sb="1" eb="2">
      <t>ニン</t>
    </rPh>
    <phoneticPr fontId="1"/>
  </si>
  <si>
    <t>札幌認定こども園</t>
    <rPh sb="0" eb="2">
      <t>サッポロ</t>
    </rPh>
    <rPh sb="2" eb="4">
      <t>ニンテイ</t>
    </rPh>
    <rPh sb="7" eb="8">
      <t>エン</t>
    </rPh>
    <phoneticPr fontId="1"/>
  </si>
  <si>
    <t>幼保</t>
    <rPh sb="0" eb="1">
      <t>ヨウ</t>
    </rPh>
    <rPh sb="1" eb="2">
      <t>ホ</t>
    </rPh>
    <phoneticPr fontId="1"/>
  </si>
  <si>
    <t>認定こども園大谷オアシス保育園</t>
    <rPh sb="0" eb="2">
      <t>ニンテイ</t>
    </rPh>
    <rPh sb="5" eb="6">
      <t>エン</t>
    </rPh>
    <rPh sb="6" eb="8">
      <t>オオタニ</t>
    </rPh>
    <rPh sb="12" eb="15">
      <t>ホイクエン</t>
    </rPh>
    <phoneticPr fontId="1"/>
  </si>
  <si>
    <t>地裁</t>
    <rPh sb="0" eb="2">
      <t>チサイ</t>
    </rPh>
    <phoneticPr fontId="1"/>
  </si>
  <si>
    <t>幼認</t>
    <rPh sb="0" eb="1">
      <t>ヨウ</t>
    </rPh>
    <rPh sb="1" eb="2">
      <t>ニン</t>
    </rPh>
    <phoneticPr fontId="1"/>
  </si>
  <si>
    <t>認定こども園つぼみ幼稚園</t>
    <rPh sb="0" eb="2">
      <t>ニンテイ</t>
    </rPh>
    <rPh sb="5" eb="6">
      <t>エン</t>
    </rPh>
    <rPh sb="9" eb="12">
      <t>ヨウチエン</t>
    </rPh>
    <phoneticPr fontId="1"/>
  </si>
  <si>
    <t>認定こども園幌西そらいろ保育園</t>
    <rPh sb="0" eb="2">
      <t>ニンテイ</t>
    </rPh>
    <rPh sb="5" eb="6">
      <t>エン</t>
    </rPh>
    <rPh sb="6" eb="7">
      <t>ホロ</t>
    </rPh>
    <rPh sb="7" eb="8">
      <t>ニシ</t>
    </rPh>
    <rPh sb="12" eb="15">
      <t>ホイクエン</t>
    </rPh>
    <phoneticPr fontId="1"/>
  </si>
  <si>
    <t>認定こども園札幌大谷幼稚園</t>
    <rPh sb="0" eb="2">
      <t>ニンテイ</t>
    </rPh>
    <rPh sb="5" eb="6">
      <t>エン</t>
    </rPh>
    <rPh sb="8" eb="10">
      <t>オオタニ</t>
    </rPh>
    <rPh sb="10" eb="13">
      <t>ヨウチエン</t>
    </rPh>
    <phoneticPr fontId="1"/>
  </si>
  <si>
    <t>認定こども園宮の森メープル保育園</t>
    <rPh sb="0" eb="2">
      <t>ニンテイ</t>
    </rPh>
    <rPh sb="5" eb="6">
      <t>エン</t>
    </rPh>
    <rPh sb="13" eb="16">
      <t>ホイクエン</t>
    </rPh>
    <phoneticPr fontId="1"/>
  </si>
  <si>
    <t>幌北中央保育園</t>
    <rPh sb="0" eb="1">
      <t>ホロ</t>
    </rPh>
    <rPh sb="1" eb="2">
      <t>キタ</t>
    </rPh>
    <phoneticPr fontId="1"/>
  </si>
  <si>
    <t>幼保</t>
    <rPh sb="0" eb="2">
      <t>ヨウホ</t>
    </rPh>
    <phoneticPr fontId="1"/>
  </si>
  <si>
    <t>しんことに清香こども園</t>
    <rPh sb="5" eb="6">
      <t>キヨ</t>
    </rPh>
    <rPh sb="6" eb="7">
      <t>カ</t>
    </rPh>
    <rPh sb="10" eb="11">
      <t>エン</t>
    </rPh>
    <phoneticPr fontId="1"/>
  </si>
  <si>
    <t>新川西さくらこ認定こども園</t>
    <rPh sb="0" eb="1">
      <t>シン</t>
    </rPh>
    <rPh sb="1" eb="3">
      <t>カワニシ</t>
    </rPh>
    <rPh sb="7" eb="9">
      <t>ニンテイ</t>
    </rPh>
    <rPh sb="12" eb="13">
      <t>エン</t>
    </rPh>
    <phoneticPr fontId="1"/>
  </si>
  <si>
    <t>創成札幌こども園</t>
    <rPh sb="0" eb="2">
      <t>ソウセイ</t>
    </rPh>
    <rPh sb="2" eb="4">
      <t>サッポロ</t>
    </rPh>
    <rPh sb="7" eb="8">
      <t>エン</t>
    </rPh>
    <phoneticPr fontId="1"/>
  </si>
  <si>
    <t>屯田桃の花こども園</t>
    <rPh sb="0" eb="2">
      <t>トンデン</t>
    </rPh>
    <phoneticPr fontId="1"/>
  </si>
  <si>
    <t>札幌未来保育園</t>
  </si>
  <si>
    <t>エンジェル保育園</t>
  </si>
  <si>
    <t>認定こども園しずく保育園</t>
    <rPh sb="0" eb="2">
      <t>ニンテイ</t>
    </rPh>
    <rPh sb="5" eb="6">
      <t>エン</t>
    </rPh>
    <rPh sb="9" eb="12">
      <t>ホイクエン</t>
    </rPh>
    <phoneticPr fontId="1"/>
  </si>
  <si>
    <t>認定こども園はなぞの</t>
    <rPh sb="0" eb="2">
      <t>ニンテイ</t>
    </rPh>
    <rPh sb="5" eb="6">
      <t>エン</t>
    </rPh>
    <phoneticPr fontId="1"/>
  </si>
  <si>
    <t>認定こども園あいの里</t>
    <rPh sb="0" eb="2">
      <t>ニンテイ</t>
    </rPh>
    <rPh sb="5" eb="6">
      <t>エン</t>
    </rPh>
    <phoneticPr fontId="1"/>
  </si>
  <si>
    <t>認定こども園札幌北幼稚園</t>
    <rPh sb="0" eb="2">
      <t>ニンテイ</t>
    </rPh>
    <rPh sb="5" eb="6">
      <t>エン</t>
    </rPh>
    <rPh sb="6" eb="8">
      <t>サッポロ</t>
    </rPh>
    <rPh sb="8" eb="9">
      <t>キタ</t>
    </rPh>
    <rPh sb="9" eb="12">
      <t>ヨウチエン</t>
    </rPh>
    <phoneticPr fontId="1"/>
  </si>
  <si>
    <t>認定こども園新琴似幼稚園</t>
    <rPh sb="0" eb="2">
      <t>ニンテイ</t>
    </rPh>
    <rPh sb="5" eb="6">
      <t>エン</t>
    </rPh>
    <rPh sb="6" eb="9">
      <t>シンコトニ</t>
    </rPh>
    <rPh sb="9" eb="12">
      <t>ヨウチエン</t>
    </rPh>
    <phoneticPr fontId="1"/>
  </si>
  <si>
    <t>認定こども園つよし幼稚園</t>
    <rPh sb="0" eb="2">
      <t>ニンテイ</t>
    </rPh>
    <rPh sb="5" eb="6">
      <t>エン</t>
    </rPh>
    <rPh sb="9" eb="12">
      <t>ヨウチエン</t>
    </rPh>
    <phoneticPr fontId="1"/>
  </si>
  <si>
    <t>あいの里大藤幼稚園</t>
    <rPh sb="3" eb="4">
      <t>サト</t>
    </rPh>
    <rPh sb="4" eb="6">
      <t>オオフジ</t>
    </rPh>
    <rPh sb="6" eb="9">
      <t>ヨウチエン</t>
    </rPh>
    <phoneticPr fontId="1"/>
  </si>
  <si>
    <t>認定こども園メルシー学院</t>
    <rPh sb="0" eb="2">
      <t>ニンテイ</t>
    </rPh>
    <rPh sb="5" eb="6">
      <t>エン</t>
    </rPh>
    <rPh sb="10" eb="11">
      <t>ガク</t>
    </rPh>
    <rPh sb="11" eb="12">
      <t>イン</t>
    </rPh>
    <phoneticPr fontId="1"/>
  </si>
  <si>
    <t>認定こども園太平あずさ保育園</t>
    <rPh sb="0" eb="2">
      <t>ニンテイ</t>
    </rPh>
    <rPh sb="5" eb="6">
      <t>エン</t>
    </rPh>
    <rPh sb="6" eb="8">
      <t>タイヘイ</t>
    </rPh>
    <rPh sb="11" eb="14">
      <t>ホイクエン</t>
    </rPh>
    <phoneticPr fontId="1"/>
  </si>
  <si>
    <t>幼保連携型認定こども園さっぽろ夢</t>
    <rPh sb="0" eb="11">
      <t>ヨウホ</t>
    </rPh>
    <phoneticPr fontId="1"/>
  </si>
  <si>
    <t>開成いちい認定こども園</t>
    <rPh sb="0" eb="2">
      <t>カイセイ</t>
    </rPh>
    <rPh sb="5" eb="7">
      <t>ニンテイ</t>
    </rPh>
    <rPh sb="10" eb="11">
      <t>エン</t>
    </rPh>
    <phoneticPr fontId="1"/>
  </si>
  <si>
    <t>幼保連携型認定こども園しらゆき夢</t>
    <rPh sb="0" eb="11">
      <t>ヨウホ</t>
    </rPh>
    <rPh sb="5" eb="7">
      <t>ニンテイ</t>
    </rPh>
    <rPh sb="10" eb="11">
      <t>エン</t>
    </rPh>
    <rPh sb="15" eb="16">
      <t>ユメ</t>
    </rPh>
    <phoneticPr fontId="1"/>
  </si>
  <si>
    <t>認定こども園東苗穂保育園</t>
    <rPh sb="0" eb="2">
      <t>ニンテイ</t>
    </rPh>
    <rPh sb="5" eb="6">
      <t>エン</t>
    </rPh>
    <phoneticPr fontId="1"/>
  </si>
  <si>
    <t>丘珠マスカット保育園</t>
    <rPh sb="0" eb="2">
      <t>オカダマ</t>
    </rPh>
    <rPh sb="7" eb="10">
      <t>ホイクエン</t>
    </rPh>
    <phoneticPr fontId="1"/>
  </si>
  <si>
    <t>伏古かしわ保育園</t>
    <rPh sb="0" eb="1">
      <t>フク</t>
    </rPh>
    <rPh sb="1" eb="2">
      <t>フル</t>
    </rPh>
    <phoneticPr fontId="1"/>
  </si>
  <si>
    <t>北栄マスカット保育園</t>
    <rPh sb="0" eb="1">
      <t>キタ</t>
    </rPh>
    <rPh sb="1" eb="2">
      <t>サカエ</t>
    </rPh>
    <rPh sb="7" eb="10">
      <t>ホイクエン</t>
    </rPh>
    <phoneticPr fontId="1"/>
  </si>
  <si>
    <t>栄町マスカット保育園</t>
    <rPh sb="0" eb="2">
      <t>サカエマチ</t>
    </rPh>
    <rPh sb="7" eb="10">
      <t>ホイクエン</t>
    </rPh>
    <phoneticPr fontId="1"/>
  </si>
  <si>
    <t>認定こども園本町保育園</t>
    <rPh sb="0" eb="2">
      <t>ニンテイ</t>
    </rPh>
    <rPh sb="5" eb="6">
      <t>エン</t>
    </rPh>
    <phoneticPr fontId="1"/>
  </si>
  <si>
    <t>認定こども園中沼保育園</t>
    <rPh sb="0" eb="2">
      <t>ニンテイ</t>
    </rPh>
    <rPh sb="5" eb="6">
      <t>エン</t>
    </rPh>
    <phoneticPr fontId="1"/>
  </si>
  <si>
    <t>幼保連携型認定こども園さつなえのもり</t>
    <rPh sb="0" eb="1">
      <t>ヨウ</t>
    </rPh>
    <rPh sb="1" eb="2">
      <t>ホ</t>
    </rPh>
    <rPh sb="2" eb="4">
      <t>レンケイ</t>
    </rPh>
    <rPh sb="4" eb="5">
      <t>ガタ</t>
    </rPh>
    <rPh sb="5" eb="7">
      <t>ニンテイ</t>
    </rPh>
    <phoneticPr fontId="1"/>
  </si>
  <si>
    <t>光星友愛認定こども園</t>
    <rPh sb="0" eb="1">
      <t>ヒカリ</t>
    </rPh>
    <rPh sb="1" eb="2">
      <t>ホシ</t>
    </rPh>
    <rPh sb="4" eb="6">
      <t>ニンテイ</t>
    </rPh>
    <rPh sb="9" eb="10">
      <t>エン</t>
    </rPh>
    <phoneticPr fontId="4"/>
  </si>
  <si>
    <t>幼保連携型認定こども園おかだまのもり</t>
    <rPh sb="0" eb="11">
      <t>ヨウホ</t>
    </rPh>
    <phoneticPr fontId="1"/>
  </si>
  <si>
    <t>認定こども園聖ミカエル幼稚園</t>
    <rPh sb="0" eb="2">
      <t>ニンテイ</t>
    </rPh>
    <rPh sb="5" eb="6">
      <t>エン</t>
    </rPh>
    <phoneticPr fontId="1"/>
  </si>
  <si>
    <t>幼保連携型認定こども園せいめいのもり</t>
    <rPh sb="0" eb="11">
      <t>ヨウホ</t>
    </rPh>
    <phoneticPr fontId="1"/>
  </si>
  <si>
    <t>幼保連携型認定こども園ふしこ幼稚園</t>
    <rPh sb="0" eb="1">
      <t>ヨウ</t>
    </rPh>
    <rPh sb="1" eb="2">
      <t>ホ</t>
    </rPh>
    <rPh sb="2" eb="5">
      <t>レンケイガタ</t>
    </rPh>
    <rPh sb="5" eb="7">
      <t>ニンテイ</t>
    </rPh>
    <rPh sb="10" eb="11">
      <t>エン</t>
    </rPh>
    <rPh sb="14" eb="17">
      <t>ヨウチエン</t>
    </rPh>
    <phoneticPr fontId="4"/>
  </si>
  <si>
    <t>幼保連携型認定こども園もえれのもり</t>
    <rPh sb="0" eb="1">
      <t>ヨウ</t>
    </rPh>
    <rPh sb="1" eb="2">
      <t>ホ</t>
    </rPh>
    <rPh sb="2" eb="5">
      <t>レンケイガタ</t>
    </rPh>
    <rPh sb="5" eb="7">
      <t>ニンテイ</t>
    </rPh>
    <rPh sb="10" eb="11">
      <t>エン</t>
    </rPh>
    <phoneticPr fontId="4"/>
  </si>
  <si>
    <t>認定こども園栄光幼稚園</t>
    <rPh sb="0" eb="2">
      <t>ニンテイ</t>
    </rPh>
    <rPh sb="5" eb="6">
      <t>エン</t>
    </rPh>
    <rPh sb="6" eb="8">
      <t>エイコウ</t>
    </rPh>
    <rPh sb="8" eb="11">
      <t>ヨウチエン</t>
    </rPh>
    <phoneticPr fontId="1"/>
  </si>
  <si>
    <t>幼保連携型認定こども園東苗穂スパークル園</t>
    <rPh sb="0" eb="7">
      <t>ヨウホレンケイガタニンテイ</t>
    </rPh>
    <rPh sb="10" eb="11">
      <t>エン</t>
    </rPh>
    <rPh sb="11" eb="14">
      <t>ヒガシナエボ</t>
    </rPh>
    <rPh sb="19" eb="20">
      <t>エン</t>
    </rPh>
    <phoneticPr fontId="1"/>
  </si>
  <si>
    <t>友愛北白石認定こども園</t>
    <rPh sb="0" eb="2">
      <t>ユウアイ</t>
    </rPh>
    <rPh sb="2" eb="3">
      <t>キタ</t>
    </rPh>
    <rPh sb="3" eb="5">
      <t>シロイシ</t>
    </rPh>
    <rPh sb="5" eb="7">
      <t>ニンテイ</t>
    </rPh>
    <rPh sb="10" eb="11">
      <t>エン</t>
    </rPh>
    <phoneticPr fontId="5"/>
  </si>
  <si>
    <t>飛翔認定こども園</t>
    <rPh sb="0" eb="2">
      <t>ヒショウ</t>
    </rPh>
    <rPh sb="2" eb="4">
      <t>ニンテイ</t>
    </rPh>
    <rPh sb="7" eb="8">
      <t>エン</t>
    </rPh>
    <phoneticPr fontId="5"/>
  </si>
  <si>
    <t>北郷ピノキオ認定こども園</t>
    <rPh sb="0" eb="1">
      <t>キタ</t>
    </rPh>
    <rPh sb="1" eb="2">
      <t>ゴウ</t>
    </rPh>
    <rPh sb="6" eb="8">
      <t>ニンテイ</t>
    </rPh>
    <rPh sb="11" eb="12">
      <t>エン</t>
    </rPh>
    <phoneticPr fontId="1"/>
  </si>
  <si>
    <t>双葉こども園</t>
    <rPh sb="5" eb="6">
      <t>エン</t>
    </rPh>
    <phoneticPr fontId="1"/>
  </si>
  <si>
    <t>認定こども園北都</t>
    <rPh sb="0" eb="2">
      <t>ニンテイ</t>
    </rPh>
    <rPh sb="5" eb="6">
      <t>エン</t>
    </rPh>
    <phoneticPr fontId="1"/>
  </si>
  <si>
    <t>保育所型認定こども園東川下ポッポ保育園</t>
    <rPh sb="0" eb="6">
      <t>ホイクショガタニンテイ</t>
    </rPh>
    <rPh sb="9" eb="10">
      <t>エン</t>
    </rPh>
    <phoneticPr fontId="1"/>
  </si>
  <si>
    <t>認定こども園北郷すずらん</t>
    <rPh sb="0" eb="2">
      <t>ニンテイ</t>
    </rPh>
    <rPh sb="5" eb="6">
      <t>エン</t>
    </rPh>
    <rPh sb="6" eb="7">
      <t>キタ</t>
    </rPh>
    <rPh sb="7" eb="8">
      <t>ゴウ</t>
    </rPh>
    <phoneticPr fontId="1"/>
  </si>
  <si>
    <t>認定こども園北郷あゆみ幼稚園</t>
    <rPh sb="0" eb="2">
      <t>ニンテイ</t>
    </rPh>
    <rPh sb="5" eb="6">
      <t>エン</t>
    </rPh>
    <rPh sb="6" eb="7">
      <t>キタ</t>
    </rPh>
    <rPh sb="7" eb="8">
      <t>ゴウ</t>
    </rPh>
    <rPh sb="11" eb="14">
      <t>ヨウチエン</t>
    </rPh>
    <phoneticPr fontId="1"/>
  </si>
  <si>
    <t>北都幼稚園</t>
    <rPh sb="0" eb="1">
      <t>キタ</t>
    </rPh>
    <rPh sb="1" eb="2">
      <t>ミヤコ</t>
    </rPh>
    <rPh sb="2" eb="5">
      <t>ヨウチエン</t>
    </rPh>
    <phoneticPr fontId="1"/>
  </si>
  <si>
    <t>認定こども園ピッコリーノ学院</t>
    <rPh sb="0" eb="2">
      <t>ニンテイ</t>
    </rPh>
    <rPh sb="5" eb="6">
      <t>エン</t>
    </rPh>
    <rPh sb="12" eb="13">
      <t>ガク</t>
    </rPh>
    <rPh sb="13" eb="14">
      <t>イン</t>
    </rPh>
    <phoneticPr fontId="1"/>
  </si>
  <si>
    <t>認定こども園厚別さくら木保育園</t>
    <rPh sb="0" eb="2">
      <t>ニンテイ</t>
    </rPh>
    <rPh sb="5" eb="6">
      <t>エン</t>
    </rPh>
    <phoneticPr fontId="1"/>
  </si>
  <si>
    <t>認定こども園いちい幼稚園・保育園</t>
    <rPh sb="13" eb="16">
      <t>ホイクエン</t>
    </rPh>
    <phoneticPr fontId="1"/>
  </si>
  <si>
    <t>認定こども園新さっぽろ幼稚園・保育園</t>
    <rPh sb="11" eb="14">
      <t>ヨウチエン</t>
    </rPh>
    <rPh sb="15" eb="18">
      <t>ホイクエン</t>
    </rPh>
    <phoneticPr fontId="1"/>
  </si>
  <si>
    <t>幼保連携型認定こども園ひばりが丘明星幼稚園</t>
    <rPh sb="0" eb="1">
      <t>ヨウ</t>
    </rPh>
    <rPh sb="1" eb="2">
      <t>ホ</t>
    </rPh>
    <rPh sb="2" eb="5">
      <t>レンケイガタ</t>
    </rPh>
    <rPh sb="5" eb="7">
      <t>ニンテイ</t>
    </rPh>
    <rPh sb="10" eb="11">
      <t>エン</t>
    </rPh>
    <rPh sb="15" eb="16">
      <t>オカ</t>
    </rPh>
    <rPh sb="16" eb="18">
      <t>ミョウジョウ</t>
    </rPh>
    <rPh sb="18" eb="21">
      <t>ヨウチエン</t>
    </rPh>
    <phoneticPr fontId="1"/>
  </si>
  <si>
    <t>認定こども園桜台いちい幼稚園・保育園</t>
    <rPh sb="0" eb="2">
      <t>ニンテイ</t>
    </rPh>
    <rPh sb="5" eb="6">
      <t>エン</t>
    </rPh>
    <rPh sb="15" eb="17">
      <t>ホイク</t>
    </rPh>
    <rPh sb="17" eb="18">
      <t>エン</t>
    </rPh>
    <phoneticPr fontId="1"/>
  </si>
  <si>
    <t>認定こども園もみじ台幼稚園</t>
    <rPh sb="0" eb="2">
      <t>ニンテイ</t>
    </rPh>
    <rPh sb="5" eb="6">
      <t>エン</t>
    </rPh>
    <rPh sb="9" eb="10">
      <t>ダイ</t>
    </rPh>
    <rPh sb="10" eb="13">
      <t>ヨウチエン</t>
    </rPh>
    <phoneticPr fontId="1"/>
  </si>
  <si>
    <t>認定こども園札幌あおば幼稚園</t>
    <rPh sb="0" eb="2">
      <t>ニンテイ</t>
    </rPh>
    <rPh sb="5" eb="6">
      <t>エン</t>
    </rPh>
    <rPh sb="6" eb="8">
      <t>サッポロ</t>
    </rPh>
    <rPh sb="11" eb="14">
      <t>ヨウチエン</t>
    </rPh>
    <phoneticPr fontId="1"/>
  </si>
  <si>
    <t>認定こども園第２あつべつ幼稚園</t>
    <rPh sb="0" eb="2">
      <t>ニンテイ</t>
    </rPh>
    <rPh sb="5" eb="6">
      <t>エン</t>
    </rPh>
    <rPh sb="6" eb="7">
      <t>ダイ</t>
    </rPh>
    <rPh sb="12" eb="15">
      <t>ヨウチエン</t>
    </rPh>
    <phoneticPr fontId="1"/>
  </si>
  <si>
    <t>さっぽろこども園</t>
    <rPh sb="7" eb="8">
      <t>エン</t>
    </rPh>
    <phoneticPr fontId="1"/>
  </si>
  <si>
    <t>東月寒にれこども園</t>
    <rPh sb="0" eb="1">
      <t>ヒガシ</t>
    </rPh>
    <rPh sb="1" eb="3">
      <t>ツキサム</t>
    </rPh>
    <rPh sb="8" eb="9">
      <t>エン</t>
    </rPh>
    <phoneticPr fontId="1"/>
  </si>
  <si>
    <t>にれ第２こども園</t>
    <rPh sb="7" eb="8">
      <t>エン</t>
    </rPh>
    <phoneticPr fontId="1"/>
  </si>
  <si>
    <t>認定こども園中の島スマイル</t>
    <rPh sb="0" eb="2">
      <t>ニンテイ</t>
    </rPh>
    <rPh sb="5" eb="6">
      <t>エン</t>
    </rPh>
    <rPh sb="6" eb="7">
      <t>ナカ</t>
    </rPh>
    <rPh sb="8" eb="9">
      <t>シマ</t>
    </rPh>
    <phoneticPr fontId="1"/>
  </si>
  <si>
    <t>平岸友愛認定こども園</t>
    <rPh sb="0" eb="2">
      <t>ヒラギシ</t>
    </rPh>
    <rPh sb="4" eb="6">
      <t>ニンテイ</t>
    </rPh>
    <rPh sb="9" eb="10">
      <t>エン</t>
    </rPh>
    <phoneticPr fontId="1"/>
  </si>
  <si>
    <t>認定こども園ひらぎし幼稚園</t>
    <rPh sb="0" eb="2">
      <t>ニンテイ</t>
    </rPh>
    <rPh sb="5" eb="6">
      <t>エン</t>
    </rPh>
    <rPh sb="10" eb="13">
      <t>ヨウチエン</t>
    </rPh>
    <phoneticPr fontId="1"/>
  </si>
  <si>
    <t>認定こども園月寒そらいろ保育園</t>
    <rPh sb="0" eb="2">
      <t>ニンテイ</t>
    </rPh>
    <rPh sb="5" eb="6">
      <t>エン</t>
    </rPh>
    <rPh sb="6" eb="8">
      <t>ツキサム</t>
    </rPh>
    <rPh sb="12" eb="15">
      <t>ホイクエン</t>
    </rPh>
    <phoneticPr fontId="1"/>
  </si>
  <si>
    <t>花山認定こども園</t>
    <rPh sb="2" eb="4">
      <t>ニンテイ</t>
    </rPh>
    <rPh sb="7" eb="8">
      <t>エン</t>
    </rPh>
    <phoneticPr fontId="4"/>
  </si>
  <si>
    <t>アルプス認定こども園</t>
    <rPh sb="4" eb="6">
      <t>ニンテイ</t>
    </rPh>
    <rPh sb="9" eb="10">
      <t>エン</t>
    </rPh>
    <phoneticPr fontId="1"/>
  </si>
  <si>
    <t>認定こども園からまつ保育園</t>
    <rPh sb="0" eb="2">
      <t>ニンテイ</t>
    </rPh>
    <rPh sb="5" eb="6">
      <t>エン</t>
    </rPh>
    <rPh sb="10" eb="13">
      <t>ホイクエン</t>
    </rPh>
    <phoneticPr fontId="4"/>
  </si>
  <si>
    <t>認定こども園北野しらかば幼稚園・保育園</t>
    <rPh sb="12" eb="15">
      <t>ヨウチエン</t>
    </rPh>
    <rPh sb="16" eb="19">
      <t>ホイクエン</t>
    </rPh>
    <phoneticPr fontId="1"/>
  </si>
  <si>
    <t>認定こども園つみき</t>
    <rPh sb="0" eb="2">
      <t>ニンテイ</t>
    </rPh>
    <rPh sb="5" eb="6">
      <t>エン</t>
    </rPh>
    <phoneticPr fontId="1"/>
  </si>
  <si>
    <t>札幌国際大学付属認定こども園</t>
    <rPh sb="0" eb="6">
      <t>サッポロコクサイダイガク</t>
    </rPh>
    <rPh sb="8" eb="10">
      <t>ニンテイ</t>
    </rPh>
    <rPh sb="13" eb="14">
      <t>エン</t>
    </rPh>
    <phoneticPr fontId="1"/>
  </si>
  <si>
    <t>認定こども園札幌石山保育園</t>
    <rPh sb="0" eb="2">
      <t>ニンテイ</t>
    </rPh>
    <rPh sb="5" eb="6">
      <t>エン</t>
    </rPh>
    <rPh sb="6" eb="8">
      <t>サッポロ</t>
    </rPh>
    <rPh sb="8" eb="10">
      <t>イシヤマ</t>
    </rPh>
    <rPh sb="10" eb="13">
      <t>ホイクエン</t>
    </rPh>
    <phoneticPr fontId="1"/>
  </si>
  <si>
    <t>もいわ中央こども園</t>
    <rPh sb="8" eb="9">
      <t>エン</t>
    </rPh>
    <phoneticPr fontId="1"/>
  </si>
  <si>
    <t>幼保連携型認定こども園澄川ひろのぶ保育園</t>
    <rPh sb="0" eb="1">
      <t>ヨウ</t>
    </rPh>
    <rPh sb="1" eb="2">
      <t>ホ</t>
    </rPh>
    <rPh sb="2" eb="5">
      <t>レンケイガタ</t>
    </rPh>
    <rPh sb="5" eb="7">
      <t>ニンテイ</t>
    </rPh>
    <rPh sb="10" eb="11">
      <t>エン</t>
    </rPh>
    <rPh sb="11" eb="13">
      <t>スミカワ</t>
    </rPh>
    <phoneticPr fontId="4"/>
  </si>
  <si>
    <t>認定こども園西野保育園</t>
    <rPh sb="0" eb="2">
      <t>ニンテイ</t>
    </rPh>
    <rPh sb="5" eb="6">
      <t>エン</t>
    </rPh>
    <rPh sb="6" eb="7">
      <t>ニシ</t>
    </rPh>
    <rPh sb="7" eb="8">
      <t>ノ</t>
    </rPh>
    <rPh sb="8" eb="11">
      <t>ホイクエン</t>
    </rPh>
    <phoneticPr fontId="1"/>
  </si>
  <si>
    <t>札幌西友愛認定こども園</t>
    <rPh sb="0" eb="2">
      <t>サッポロ</t>
    </rPh>
    <rPh sb="2" eb="3">
      <t>ニシ</t>
    </rPh>
    <rPh sb="3" eb="5">
      <t>ユウアイ</t>
    </rPh>
    <rPh sb="5" eb="7">
      <t>ニンテイ</t>
    </rPh>
    <rPh sb="10" eb="11">
      <t>エン</t>
    </rPh>
    <phoneticPr fontId="1"/>
  </si>
  <si>
    <t>認定こども園西野そらいろ保育園</t>
    <rPh sb="0" eb="2">
      <t>ニンテイ</t>
    </rPh>
    <rPh sb="5" eb="6">
      <t>エン</t>
    </rPh>
    <rPh sb="6" eb="7">
      <t>ニシ</t>
    </rPh>
    <rPh sb="7" eb="8">
      <t>ノ</t>
    </rPh>
    <rPh sb="12" eb="15">
      <t>ホイクエン</t>
    </rPh>
    <phoneticPr fontId="1"/>
  </si>
  <si>
    <t>認定こども園西町さつき保育園</t>
    <rPh sb="0" eb="2">
      <t>ニンテイ</t>
    </rPh>
    <rPh sb="5" eb="6">
      <t>エン</t>
    </rPh>
    <rPh sb="6" eb="8">
      <t>ニシマチ</t>
    </rPh>
    <rPh sb="11" eb="14">
      <t>ホイクエン</t>
    </rPh>
    <phoneticPr fontId="1"/>
  </si>
  <si>
    <t>まえだ認定こども園</t>
    <rPh sb="3" eb="5">
      <t>ニンテイ</t>
    </rPh>
    <rPh sb="8" eb="9">
      <t>エン</t>
    </rPh>
    <phoneticPr fontId="5"/>
  </si>
  <si>
    <t>星置ピノキオ認定こども園</t>
    <rPh sb="6" eb="8">
      <t>ニンテイ</t>
    </rPh>
    <rPh sb="11" eb="12">
      <t>エン</t>
    </rPh>
    <phoneticPr fontId="1"/>
  </si>
  <si>
    <t>ていねあすなろ認定こども園</t>
    <rPh sb="7" eb="9">
      <t>ニンテイ</t>
    </rPh>
    <rPh sb="12" eb="13">
      <t>エン</t>
    </rPh>
    <phoneticPr fontId="5"/>
  </si>
  <si>
    <t>認定こども園まつばの杜</t>
    <rPh sb="0" eb="2">
      <t>ニンテイ</t>
    </rPh>
    <rPh sb="5" eb="6">
      <t>エン</t>
    </rPh>
    <rPh sb="10" eb="11">
      <t>モリ</t>
    </rPh>
    <phoneticPr fontId="1"/>
  </si>
  <si>
    <t>認定こども園ほしおきガーデン星の子幼稚園</t>
    <rPh sb="0" eb="2">
      <t>ニンテイ</t>
    </rPh>
    <rPh sb="5" eb="6">
      <t>エン</t>
    </rPh>
    <rPh sb="14" eb="15">
      <t>ホシ</t>
    </rPh>
    <rPh sb="16" eb="17">
      <t>コ</t>
    </rPh>
    <rPh sb="17" eb="20">
      <t>ヨウチエン</t>
    </rPh>
    <phoneticPr fontId="1"/>
  </si>
  <si>
    <t>幼保連携型認定こども園山王幼稚園</t>
    <rPh sb="0" eb="7">
      <t>ヨウホレンケイガタニンテイ</t>
    </rPh>
    <rPh sb="10" eb="11">
      <t>エン</t>
    </rPh>
    <rPh sb="11" eb="13">
      <t>サンノウ</t>
    </rPh>
    <rPh sb="13" eb="16">
      <t>ヨウチエン</t>
    </rPh>
    <phoneticPr fontId="1"/>
  </si>
  <si>
    <t>認定こども園手稲札幌アカデミー</t>
    <rPh sb="0" eb="2">
      <t>ニンテイ</t>
    </rPh>
    <rPh sb="5" eb="6">
      <t>エン</t>
    </rPh>
    <rPh sb="6" eb="8">
      <t>テイネ</t>
    </rPh>
    <rPh sb="8" eb="10">
      <t>サッポロ</t>
    </rPh>
    <phoneticPr fontId="1"/>
  </si>
  <si>
    <t>②　共同保育実施施設は、共同保育により年間を通じて開所する場合の実施要綱や運営規定</t>
    <rPh sb="2" eb="4">
      <t>キョウドウ</t>
    </rPh>
    <rPh sb="4" eb="6">
      <t>ホイク</t>
    </rPh>
    <rPh sb="6" eb="8">
      <t>ジッシ</t>
    </rPh>
    <rPh sb="8" eb="10">
      <t>シセツ</t>
    </rPh>
    <rPh sb="12" eb="14">
      <t>キョウドウ</t>
    </rPh>
    <rPh sb="14" eb="16">
      <t>ホイク</t>
    </rPh>
    <rPh sb="19" eb="21">
      <t>ネンカン</t>
    </rPh>
    <rPh sb="22" eb="23">
      <t>ツウ</t>
    </rPh>
    <rPh sb="25" eb="27">
      <t>カイショ</t>
    </rPh>
    <rPh sb="29" eb="31">
      <t>バアイ</t>
    </rPh>
    <rPh sb="32" eb="34">
      <t>ジッシ</t>
    </rPh>
    <rPh sb="34" eb="36">
      <t>ヨウコウ</t>
    </rPh>
    <rPh sb="37" eb="39">
      <t>ウンエイ</t>
    </rPh>
    <rPh sb="39" eb="41">
      <t>キテイ</t>
    </rPh>
    <phoneticPr fontId="1"/>
  </si>
  <si>
    <t>　授業・行事、研究会・研修等の小学校との子ども及び教職員の交流活動を年間を通じ複数回計画・実施している（別紙7）</t>
    <rPh sb="1" eb="3">
      <t>ジュギョウ</t>
    </rPh>
    <rPh sb="4" eb="6">
      <t>ギョウジ</t>
    </rPh>
    <rPh sb="7" eb="10">
      <t>ケンキュウカイ</t>
    </rPh>
    <rPh sb="11" eb="13">
      <t>ケンシュウ</t>
    </rPh>
    <rPh sb="13" eb="14">
      <t>トウ</t>
    </rPh>
    <rPh sb="15" eb="18">
      <t>ショウガッコウ</t>
    </rPh>
    <rPh sb="20" eb="21">
      <t>コ</t>
    </rPh>
    <rPh sb="23" eb="24">
      <t>オヨ</t>
    </rPh>
    <rPh sb="25" eb="28">
      <t>キョウショクイン</t>
    </rPh>
    <rPh sb="29" eb="31">
      <t>コウリュウ</t>
    </rPh>
    <rPh sb="31" eb="33">
      <t>カツドウ</t>
    </rPh>
    <rPh sb="34" eb="36">
      <t>ネンカン</t>
    </rPh>
    <rPh sb="37" eb="38">
      <t>ツウ</t>
    </rPh>
    <rPh sb="39" eb="42">
      <t>フクスウカイ</t>
    </rPh>
    <rPh sb="42" eb="44">
      <t>ケイカク</t>
    </rPh>
    <rPh sb="45" eb="47">
      <t>ジッシ</t>
    </rPh>
    <rPh sb="52" eb="54">
      <t>ベッシ</t>
    </rPh>
    <phoneticPr fontId="1"/>
  </si>
  <si>
    <t>主幹教諭等及びその代替教諭（教育）を配置し職員配置を充足（様式５）</t>
    <rPh sb="0" eb="2">
      <t>シュカン</t>
    </rPh>
    <rPh sb="2" eb="4">
      <t>キョウユ</t>
    </rPh>
    <rPh sb="4" eb="5">
      <t>トウ</t>
    </rPh>
    <rPh sb="5" eb="6">
      <t>オヨ</t>
    </rPh>
    <rPh sb="9" eb="11">
      <t>ダイタイ</t>
    </rPh>
    <rPh sb="11" eb="13">
      <t>キョウユ</t>
    </rPh>
    <rPh sb="14" eb="16">
      <t>キョウイク</t>
    </rPh>
    <rPh sb="18" eb="20">
      <t>ハイチ</t>
    </rPh>
    <rPh sb="21" eb="25">
      <t>ショクインハイチ</t>
    </rPh>
    <rPh sb="26" eb="28">
      <t>ジュウソク</t>
    </rPh>
    <phoneticPr fontId="1"/>
  </si>
  <si>
    <t>主幹教諭等及びその代替教諭（保育）を配置し職員配置を充足（様式５）</t>
    <rPh sb="0" eb="2">
      <t>シュカン</t>
    </rPh>
    <rPh sb="2" eb="4">
      <t>キョウユ</t>
    </rPh>
    <rPh sb="4" eb="5">
      <t>トウ</t>
    </rPh>
    <rPh sb="5" eb="6">
      <t>オヨ</t>
    </rPh>
    <rPh sb="9" eb="11">
      <t>ダイタイ</t>
    </rPh>
    <rPh sb="11" eb="13">
      <t>キョウユ</t>
    </rPh>
    <rPh sb="14" eb="16">
      <t>ホイク</t>
    </rPh>
    <rPh sb="18" eb="20">
      <t>ハイチ</t>
    </rPh>
    <rPh sb="21" eb="25">
      <t>ショクインハイチ</t>
    </rPh>
    <rPh sb="26" eb="28">
      <t>ジュウソク</t>
    </rPh>
    <phoneticPr fontId="1"/>
  </si>
  <si>
    <t>申出書の内容</t>
    <rPh sb="0" eb="3">
      <t>モウシデショ</t>
    </rPh>
    <rPh sb="4" eb="6">
      <t>ナイヨウ</t>
    </rPh>
    <phoneticPr fontId="1"/>
  </si>
  <si>
    <t>様式名</t>
    <rPh sb="0" eb="3">
      <t>ヨウシキメイ</t>
    </rPh>
    <phoneticPr fontId="1"/>
  </si>
  <si>
    <t>特例：新型コロナ感染症により利用者数が極端に減少した場合は、下記に例年の状況を入力したうえで、右記に「例年の状況（※3）」の算出方法を選択してください</t>
    <rPh sb="0" eb="2">
      <t>トクレイ</t>
    </rPh>
    <rPh sb="3" eb="5">
      <t>シンガタ</t>
    </rPh>
    <rPh sb="8" eb="11">
      <t>カンセンショウ</t>
    </rPh>
    <rPh sb="14" eb="16">
      <t>リヨウ</t>
    </rPh>
    <rPh sb="16" eb="17">
      <t>シャ</t>
    </rPh>
    <rPh sb="17" eb="18">
      <t>スウ</t>
    </rPh>
    <rPh sb="19" eb="21">
      <t>キョクタン</t>
    </rPh>
    <rPh sb="22" eb="24">
      <t>ゲンショウ</t>
    </rPh>
    <rPh sb="26" eb="28">
      <t>バアイ</t>
    </rPh>
    <rPh sb="30" eb="32">
      <t>カキ</t>
    </rPh>
    <rPh sb="33" eb="35">
      <t>レイネン</t>
    </rPh>
    <rPh sb="36" eb="38">
      <t>ジョウキョウ</t>
    </rPh>
    <rPh sb="39" eb="41">
      <t>ニュウリョク</t>
    </rPh>
    <rPh sb="47" eb="49">
      <t>ウキ</t>
    </rPh>
    <rPh sb="51" eb="53">
      <t>レイネン</t>
    </rPh>
    <rPh sb="54" eb="56">
      <t>ジョウキョウ</t>
    </rPh>
    <rPh sb="62" eb="64">
      <t>サンシュツ</t>
    </rPh>
    <rPh sb="64" eb="66">
      <t>ホウホウ</t>
    </rPh>
    <rPh sb="67" eb="69">
      <t>センタク</t>
    </rPh>
    <phoneticPr fontId="1"/>
  </si>
  <si>
    <t>特例</t>
    <rPh sb="0" eb="2">
      <t>トクレイ</t>
    </rPh>
    <phoneticPr fontId="1"/>
  </si>
  <si>
    <t>①</t>
    <phoneticPr fontId="1"/>
  </si>
  <si>
    <t>②</t>
    <phoneticPr fontId="1"/>
  </si>
  <si>
    <t>③</t>
    <phoneticPr fontId="1"/>
  </si>
  <si>
    <t>④</t>
    <phoneticPr fontId="1"/>
  </si>
  <si>
    <t>※３　下記の選択肢から選択すること
　①：当初予定、②：新型コロナの影響がない2019年以前の参考値、③：3か年平均、④：その他</t>
    <rPh sb="3" eb="5">
      <t>カキ</t>
    </rPh>
    <rPh sb="6" eb="9">
      <t>センタクシ</t>
    </rPh>
    <rPh sb="11" eb="13">
      <t>センタク</t>
    </rPh>
    <phoneticPr fontId="1"/>
  </si>
  <si>
    <t xml:space="preserve">　幼稚園型一時預かり事業
（子ども・子育て支援交付金の交付に係る要件に適合しており、かつ、月の平均対象子どもが１人以上いるもの※１。私学助成の預かり保育推進事業、幼稚園長時間預かり保育支援事業等により行う預かり保育を含む。※２）      </t>
    <phoneticPr fontId="1"/>
  </si>
  <si>
    <t>特例：新型コロナ感染症により利用者数が極端に減少した場合は、下記に例年の状況を入力したうえで、右記に「例年の状況（※2）」の算出方法を選択してください</t>
    <rPh sb="0" eb="2">
      <t>トクレイ</t>
    </rPh>
    <rPh sb="3" eb="5">
      <t>シンガタ</t>
    </rPh>
    <rPh sb="8" eb="11">
      <t>カンセンショウ</t>
    </rPh>
    <rPh sb="14" eb="16">
      <t>リヨウ</t>
    </rPh>
    <rPh sb="16" eb="17">
      <t>シャ</t>
    </rPh>
    <rPh sb="17" eb="18">
      <t>スウ</t>
    </rPh>
    <rPh sb="19" eb="21">
      <t>キョクタン</t>
    </rPh>
    <rPh sb="22" eb="24">
      <t>ゲンショウ</t>
    </rPh>
    <rPh sb="26" eb="28">
      <t>バアイ</t>
    </rPh>
    <rPh sb="30" eb="32">
      <t>カキ</t>
    </rPh>
    <rPh sb="33" eb="35">
      <t>レイネン</t>
    </rPh>
    <rPh sb="36" eb="38">
      <t>ジョウキョウ</t>
    </rPh>
    <rPh sb="39" eb="41">
      <t>ニュウリョク</t>
    </rPh>
    <rPh sb="47" eb="49">
      <t>ウキ</t>
    </rPh>
    <rPh sb="51" eb="53">
      <t>レイネン</t>
    </rPh>
    <rPh sb="54" eb="56">
      <t>ジョウキョウ</t>
    </rPh>
    <rPh sb="62" eb="64">
      <t>サンシュツ</t>
    </rPh>
    <rPh sb="64" eb="66">
      <t>ホウホウ</t>
    </rPh>
    <rPh sb="67" eb="69">
      <t>センタク</t>
    </rPh>
    <phoneticPr fontId="1"/>
  </si>
  <si>
    <t>※２　下記の選択肢から選択すること
　①：当初予定、②：新型コロナの影響がない2019年以前の参考値、③：3か年平均、④：その他</t>
    <rPh sb="3" eb="5">
      <t>カキ</t>
    </rPh>
    <rPh sb="6" eb="9">
      <t>センタクシ</t>
    </rPh>
    <rPh sb="11" eb="13">
      <t>センタク</t>
    </rPh>
    <phoneticPr fontId="1"/>
  </si>
  <si>
    <t>別紙５（「加算：給食実施加算及び副食費徴収免除加算（1号）」の添付書類）</t>
    <rPh sb="0" eb="2">
      <t>ベッシ</t>
    </rPh>
    <rPh sb="5" eb="7">
      <t>カサン</t>
    </rPh>
    <rPh sb="8" eb="10">
      <t>キュウショク</t>
    </rPh>
    <rPh sb="10" eb="12">
      <t>ジッシ</t>
    </rPh>
    <rPh sb="12" eb="14">
      <t>カサン</t>
    </rPh>
    <rPh sb="14" eb="15">
      <t>オヨ</t>
    </rPh>
    <rPh sb="16" eb="25">
      <t>フクショクヒチョウシュウメンジョカサン</t>
    </rPh>
    <rPh sb="27" eb="28">
      <t>ゴウ</t>
    </rPh>
    <rPh sb="31" eb="33">
      <t>テンプ</t>
    </rPh>
    <rPh sb="33" eb="35">
      <t>ショルイ</t>
    </rPh>
    <phoneticPr fontId="1"/>
  </si>
  <si>
    <t>　下表の特例/修業日/給食日/副食日に必要に応じて「番号」又は「○」を入力してください。</t>
    <rPh sb="1" eb="3">
      <t>カヒョウ</t>
    </rPh>
    <rPh sb="4" eb="6">
      <t>トクレイ</t>
    </rPh>
    <rPh sb="7" eb="9">
      <t>シュウギョウ</t>
    </rPh>
    <rPh sb="9" eb="10">
      <t>ビ</t>
    </rPh>
    <rPh sb="11" eb="13">
      <t>キュウショク</t>
    </rPh>
    <rPh sb="13" eb="14">
      <t>ビ</t>
    </rPh>
    <rPh sb="15" eb="17">
      <t>フクショク</t>
    </rPh>
    <rPh sb="17" eb="18">
      <t>ビ</t>
    </rPh>
    <rPh sb="19" eb="21">
      <t>ヒツヨウ</t>
    </rPh>
    <rPh sb="22" eb="23">
      <t>オウ</t>
    </rPh>
    <rPh sb="26" eb="28">
      <t>バンゴウ</t>
    </rPh>
    <rPh sb="29" eb="30">
      <t>マタ</t>
    </rPh>
    <rPh sb="35" eb="37">
      <t>ニュウリョク</t>
    </rPh>
    <phoneticPr fontId="1"/>
  </si>
  <si>
    <r>
      <t>　・　特例は、</t>
    </r>
    <r>
      <rPr>
        <b/>
        <u/>
        <sz val="10"/>
        <rFont val="ＭＳ 明朝"/>
        <family val="1"/>
        <charset val="128"/>
      </rPr>
      <t>新型コロナの影響で休園・家庭保育実施</t>
    </r>
    <r>
      <rPr>
        <sz val="10"/>
        <rFont val="ＭＳ 明朝"/>
        <family val="1"/>
        <charset val="128"/>
      </rPr>
      <t>となり給食・副食の提供予定に影響がある場合、例年の状況を修業日・給食日・副食日を入力し、特例欄はその「例年の状況」の求め方を下記の①～④から選択してください。</t>
    </r>
    <rPh sb="3" eb="5">
      <t>トクレイ</t>
    </rPh>
    <rPh sb="7" eb="9">
      <t>シンガタ</t>
    </rPh>
    <rPh sb="13" eb="15">
      <t>エイキョウ</t>
    </rPh>
    <rPh sb="16" eb="17">
      <t>キュウ</t>
    </rPh>
    <rPh sb="17" eb="18">
      <t>エン</t>
    </rPh>
    <rPh sb="19" eb="21">
      <t>カテイ</t>
    </rPh>
    <rPh sb="21" eb="23">
      <t>ホイク</t>
    </rPh>
    <rPh sb="23" eb="25">
      <t>ジッシ</t>
    </rPh>
    <rPh sb="28" eb="30">
      <t>キュウショク</t>
    </rPh>
    <rPh sb="31" eb="33">
      <t>フクショク</t>
    </rPh>
    <rPh sb="34" eb="36">
      <t>テイキョウ</t>
    </rPh>
    <rPh sb="36" eb="38">
      <t>ヨテイ</t>
    </rPh>
    <rPh sb="39" eb="41">
      <t>エイキョウ</t>
    </rPh>
    <rPh sb="44" eb="46">
      <t>バアイ</t>
    </rPh>
    <rPh sb="47" eb="49">
      <t>レイネン</t>
    </rPh>
    <rPh sb="50" eb="52">
      <t>ジョウキョウ</t>
    </rPh>
    <rPh sb="53" eb="56">
      <t>シュウギョウヒ</t>
    </rPh>
    <rPh sb="57" eb="60">
      <t>キュウショクビ</t>
    </rPh>
    <rPh sb="61" eb="63">
      <t>フクショク</t>
    </rPh>
    <rPh sb="63" eb="64">
      <t>ビ</t>
    </rPh>
    <rPh sb="65" eb="67">
      <t>ニュウリョク</t>
    </rPh>
    <rPh sb="69" eb="72">
      <t>トクレイラン</t>
    </rPh>
    <rPh sb="76" eb="78">
      <t>レイネン</t>
    </rPh>
    <rPh sb="79" eb="81">
      <t>ジョウキョウ</t>
    </rPh>
    <rPh sb="83" eb="84">
      <t>モト</t>
    </rPh>
    <rPh sb="85" eb="86">
      <t>カタ</t>
    </rPh>
    <rPh sb="87" eb="89">
      <t>カキ</t>
    </rPh>
    <rPh sb="95" eb="97">
      <t>センタク</t>
    </rPh>
    <phoneticPr fontId="1"/>
  </si>
  <si>
    <t>例年の実施状況の求め方➡　①：当初予定、②：新型コロナの影響がない2019年以前の参考値、③：3か年平均、④：その他</t>
    <rPh sb="0" eb="2">
      <t>レイネン</t>
    </rPh>
    <rPh sb="3" eb="7">
      <t>ジッシジョウキョウ</t>
    </rPh>
    <rPh sb="8" eb="9">
      <t>モト</t>
    </rPh>
    <rPh sb="10" eb="11">
      <t>カタ</t>
    </rPh>
    <rPh sb="15" eb="17">
      <t>トウショ</t>
    </rPh>
    <rPh sb="17" eb="19">
      <t>ヨテイ</t>
    </rPh>
    <rPh sb="22" eb="24">
      <t>シンガタ</t>
    </rPh>
    <rPh sb="28" eb="30">
      <t>エイキョウ</t>
    </rPh>
    <rPh sb="37" eb="40">
      <t>ネンイゼン</t>
    </rPh>
    <rPh sb="41" eb="44">
      <t>サンコウチ</t>
    </rPh>
    <rPh sb="49" eb="52">
      <t>ネンヘイキン</t>
    </rPh>
    <rPh sb="57" eb="58">
      <t>タ</t>
    </rPh>
    <phoneticPr fontId="1"/>
  </si>
  <si>
    <r>
      <t>　・　給食日は、</t>
    </r>
    <r>
      <rPr>
        <b/>
        <u/>
        <sz val="10"/>
        <rFont val="ＭＳ 明朝"/>
        <family val="1"/>
        <charset val="128"/>
      </rPr>
      <t>通常教育児童に提供した日</t>
    </r>
    <r>
      <rPr>
        <sz val="10"/>
        <rFont val="ＭＳ 明朝"/>
        <family val="1"/>
        <charset val="128"/>
      </rPr>
      <t>とし、預かり保育や一時預かり、２・３号認定児童のみに給食を提供する日は含みません。</t>
    </r>
    <rPh sb="3" eb="5">
      <t>キュウショク</t>
    </rPh>
    <rPh sb="5" eb="6">
      <t>ビ</t>
    </rPh>
    <rPh sb="8" eb="12">
      <t>ツウジョウキョウイク</t>
    </rPh>
    <rPh sb="12" eb="14">
      <t>ジドウ</t>
    </rPh>
    <rPh sb="15" eb="17">
      <t>テイキョウ</t>
    </rPh>
    <rPh sb="19" eb="20">
      <t>ヒ</t>
    </rPh>
    <rPh sb="23" eb="24">
      <t>アズ</t>
    </rPh>
    <rPh sb="26" eb="28">
      <t>ホイク</t>
    </rPh>
    <rPh sb="29" eb="31">
      <t>イチジ</t>
    </rPh>
    <rPh sb="31" eb="32">
      <t>アズ</t>
    </rPh>
    <rPh sb="46" eb="48">
      <t>キュウショク</t>
    </rPh>
    <rPh sb="49" eb="51">
      <t>テイキョウ</t>
    </rPh>
    <rPh sb="53" eb="54">
      <t>ヒ</t>
    </rPh>
    <rPh sb="55" eb="56">
      <t>フク</t>
    </rPh>
    <phoneticPr fontId="1"/>
  </si>
  <si>
    <r>
      <t>　・　副食日は、</t>
    </r>
    <r>
      <rPr>
        <b/>
        <u/>
        <sz val="10"/>
        <rFont val="ＭＳ 明朝"/>
        <family val="1"/>
        <charset val="128"/>
      </rPr>
      <t>完全な副食を通常教育児童に提供した日</t>
    </r>
    <r>
      <rPr>
        <sz val="10"/>
        <rFont val="ＭＳ 明朝"/>
        <family val="1"/>
        <charset val="128"/>
      </rPr>
      <t>とし、預かり保育や一時預かり児童のみに副食を提供する日や一部の副食提供にとどまる日は含みません。</t>
    </r>
    <rPh sb="3" eb="5">
      <t>フクショク</t>
    </rPh>
    <rPh sb="5" eb="6">
      <t>ビ</t>
    </rPh>
    <rPh sb="8" eb="10">
      <t>カンゼン</t>
    </rPh>
    <rPh sb="11" eb="13">
      <t>フクショク</t>
    </rPh>
    <rPh sb="14" eb="20">
      <t>ツウジョウキョウイクジドウ</t>
    </rPh>
    <rPh sb="21" eb="23">
      <t>テイキョウ</t>
    </rPh>
    <rPh sb="25" eb="26">
      <t>ヒ</t>
    </rPh>
    <rPh sb="29" eb="30">
      <t>アズ</t>
    </rPh>
    <rPh sb="32" eb="34">
      <t>ホイク</t>
    </rPh>
    <rPh sb="35" eb="37">
      <t>イチジ</t>
    </rPh>
    <rPh sb="37" eb="38">
      <t>アズ</t>
    </rPh>
    <rPh sb="40" eb="42">
      <t>ジドウ</t>
    </rPh>
    <rPh sb="45" eb="47">
      <t>フクショク</t>
    </rPh>
    <rPh sb="48" eb="50">
      <t>テイキョウ</t>
    </rPh>
    <rPh sb="52" eb="53">
      <t>ヒ</t>
    </rPh>
    <rPh sb="54" eb="56">
      <t>イチブ</t>
    </rPh>
    <rPh sb="57" eb="59">
      <t>フクショク</t>
    </rPh>
    <rPh sb="59" eb="61">
      <t>テイキョウ</t>
    </rPh>
    <rPh sb="66" eb="67">
      <t>ヒ</t>
    </rPh>
    <rPh sb="68" eb="69">
      <t>フク</t>
    </rPh>
    <phoneticPr fontId="1"/>
  </si>
  <si>
    <t>年度</t>
    <rPh sb="0" eb="2">
      <t>ネンド</t>
    </rPh>
    <phoneticPr fontId="1"/>
  </si>
  <si>
    <t>副食日数(計)：</t>
    <rPh sb="0" eb="2">
      <t>フクショク</t>
    </rPh>
    <rPh sb="2" eb="3">
      <t>ビ</t>
    </rPh>
    <rPh sb="3" eb="4">
      <t>スウ</t>
    </rPh>
    <rPh sb="5" eb="6">
      <t>ケイ</t>
    </rPh>
    <phoneticPr fontId="1"/>
  </si>
  <si>
    <t>副食日</t>
    <rPh sb="0" eb="2">
      <t>フクショク</t>
    </rPh>
    <rPh sb="2" eb="3">
      <t>ビ</t>
    </rPh>
    <phoneticPr fontId="1"/>
  </si>
  <si>
    <t>１　利用期間を入力</t>
    <rPh sb="2" eb="4">
      <t>リヨウ</t>
    </rPh>
    <rPh sb="4" eb="6">
      <t>キカン</t>
    </rPh>
    <rPh sb="7" eb="9">
      <t>ニュウリョク</t>
    </rPh>
    <phoneticPr fontId="1"/>
  </si>
  <si>
    <t>２　利用児童数（予定）を入力</t>
    <rPh sb="2" eb="4">
      <t>リヨウ</t>
    </rPh>
    <rPh sb="4" eb="6">
      <t>ジドウ</t>
    </rPh>
    <rPh sb="6" eb="7">
      <t>スウ</t>
    </rPh>
    <rPh sb="8" eb="10">
      <t>ヨテイ</t>
    </rPh>
    <rPh sb="12" eb="14">
      <t>ニュウリョク</t>
    </rPh>
    <phoneticPr fontId="1"/>
  </si>
  <si>
    <t>・特例：新型コロナの影響で休園・家庭保育実施となりバス利用人数に影響がある場合、下記の延べ人数には例年の状況を入れてください。また、特例欄には「例年の状況」の求め方を①～④から選択してください。</t>
    <rPh sb="1" eb="3">
      <t>トクレイ</t>
    </rPh>
    <rPh sb="27" eb="29">
      <t>リヨウ</t>
    </rPh>
    <rPh sb="29" eb="31">
      <t>ニンズウ</t>
    </rPh>
    <phoneticPr fontId="1"/>
  </si>
  <si>
    <t>　①：当初予定</t>
    <rPh sb="3" eb="7">
      <t>トウショヨテイ</t>
    </rPh>
    <phoneticPr fontId="1"/>
  </si>
  <si>
    <t>　②：新型コロナの影響がない2019年以前の参考値</t>
    <phoneticPr fontId="1"/>
  </si>
  <si>
    <t>　③：3か年平均</t>
    <rPh sb="5" eb="8">
      <t>ネンヘイキン</t>
    </rPh>
    <phoneticPr fontId="1"/>
  </si>
  <si>
    <t>　④：その他</t>
    <rPh sb="5" eb="6">
      <t>タ</t>
    </rPh>
    <phoneticPr fontId="1"/>
  </si>
  <si>
    <t>・延べ人数：月当たりの延べ利用数を入力してください。</t>
    <rPh sb="1" eb="2">
      <t>ノ</t>
    </rPh>
    <rPh sb="3" eb="5">
      <t>ニンズウ</t>
    </rPh>
    <rPh sb="6" eb="8">
      <t>ツキア</t>
    </rPh>
    <rPh sb="11" eb="12">
      <t>ノ</t>
    </rPh>
    <rPh sb="13" eb="16">
      <t>リヨウスウ</t>
    </rPh>
    <rPh sb="17" eb="19">
      <t>ニュウリョク</t>
    </rPh>
    <phoneticPr fontId="1"/>
  </si>
  <si>
    <t>申出内容：</t>
    <rPh sb="0" eb="1">
      <t>モウ</t>
    </rPh>
    <rPh sb="1" eb="2">
      <t>デ</t>
    </rPh>
    <rPh sb="2" eb="4">
      <t>ナイヨウ</t>
    </rPh>
    <phoneticPr fontId="1"/>
  </si>
  <si>
    <t>２　見直した区分</t>
    <phoneticPr fontId="1"/>
  </si>
  <si>
    <t>　また、年間平均在所率が120%以上の場合は、減算適用に従います。</t>
    <rPh sb="16" eb="18">
      <t>イジョウ</t>
    </rPh>
    <phoneticPr fontId="1"/>
  </si>
  <si>
    <t>※3　翌年度に実績報告を実施する。また、実績報告時に今年度実施した副食提供の挙証書類（献立表等）の提出を求めるため留意すること</t>
    <rPh sb="3" eb="6">
      <t>ヨクネンド</t>
    </rPh>
    <rPh sb="7" eb="11">
      <t>ジッセキホウコク</t>
    </rPh>
    <rPh sb="12" eb="14">
      <t>ジッシ</t>
    </rPh>
    <rPh sb="20" eb="25">
      <t>ジッセキホウコクジ</t>
    </rPh>
    <rPh sb="26" eb="29">
      <t>コンネンド</t>
    </rPh>
    <rPh sb="29" eb="31">
      <t>ジッシ</t>
    </rPh>
    <rPh sb="33" eb="35">
      <t>フクショク</t>
    </rPh>
    <rPh sb="35" eb="37">
      <t>テイキョウ</t>
    </rPh>
    <rPh sb="43" eb="46">
      <t>コンダテヒョウ</t>
    </rPh>
    <rPh sb="46" eb="47">
      <t>トウ</t>
    </rPh>
    <rPh sb="49" eb="51">
      <t>テイシュツ</t>
    </rPh>
    <rPh sb="52" eb="53">
      <t>モト</t>
    </rPh>
    <rPh sb="57" eb="59">
      <t>リュウイ</t>
    </rPh>
    <phoneticPr fontId="1"/>
  </si>
  <si>
    <t>※2　実施日は子ども全員に給食を提供できる体制をとっている日とします（保護者が弁当持参を希望するなどにより給食を利用しない子どもがいる場合も実施日に含む）。また、一時預かり・保育で提供する給食は含みません。なお、給食の実施方法（業務委託、外部搬入等）は問わない。</t>
    <rPh sb="3" eb="5">
      <t>ジッシ</t>
    </rPh>
    <rPh sb="5" eb="6">
      <t>ヒ</t>
    </rPh>
    <rPh sb="7" eb="8">
      <t>コ</t>
    </rPh>
    <rPh sb="10" eb="12">
      <t>ゼンイン</t>
    </rPh>
    <rPh sb="13" eb="15">
      <t>キュウショク</t>
    </rPh>
    <rPh sb="16" eb="18">
      <t>テイキョウ</t>
    </rPh>
    <rPh sb="21" eb="23">
      <t>タイセイ</t>
    </rPh>
    <rPh sb="29" eb="30">
      <t>ヒ</t>
    </rPh>
    <rPh sb="35" eb="38">
      <t>ホゴシャ</t>
    </rPh>
    <rPh sb="39" eb="41">
      <t>ベントウ</t>
    </rPh>
    <rPh sb="41" eb="43">
      <t>ジサン</t>
    </rPh>
    <rPh sb="44" eb="46">
      <t>キボウ</t>
    </rPh>
    <rPh sb="53" eb="55">
      <t>キュウショク</t>
    </rPh>
    <rPh sb="56" eb="58">
      <t>リヨウ</t>
    </rPh>
    <rPh sb="61" eb="62">
      <t>コ</t>
    </rPh>
    <rPh sb="67" eb="69">
      <t>バアイ</t>
    </rPh>
    <rPh sb="70" eb="72">
      <t>ジッシ</t>
    </rPh>
    <rPh sb="72" eb="73">
      <t>ビ</t>
    </rPh>
    <rPh sb="74" eb="75">
      <t>フク</t>
    </rPh>
    <phoneticPr fontId="1"/>
  </si>
  <si>
    <t>特例※1の適用の有無</t>
    <rPh sb="0" eb="2">
      <t>トクレイ</t>
    </rPh>
    <rPh sb="5" eb="7">
      <t>テキヨウ</t>
    </rPh>
    <rPh sb="8" eb="10">
      <t>ウム</t>
    </rPh>
    <phoneticPr fontId="1"/>
  </si>
  <si>
    <t>副食日</t>
    <rPh sb="0" eb="3">
      <t>フクショクビ</t>
    </rPh>
    <phoneticPr fontId="1"/>
  </si>
  <si>
    <t>※　翌年度に実績報告を実施する。また、実績報告時に今年度実施した副食提供の挙証書類（献立表等）の提出を求めるため留意すること</t>
    <rPh sb="2" eb="5">
      <t>ヨクネンド</t>
    </rPh>
    <rPh sb="6" eb="10">
      <t>ジッセキホウコク</t>
    </rPh>
    <rPh sb="11" eb="13">
      <t>ジッシ</t>
    </rPh>
    <rPh sb="19" eb="24">
      <t>ジッセキホウコクジ</t>
    </rPh>
    <rPh sb="25" eb="28">
      <t>コンネンド</t>
    </rPh>
    <rPh sb="28" eb="30">
      <t>ジッシ</t>
    </rPh>
    <rPh sb="32" eb="34">
      <t>フクショク</t>
    </rPh>
    <rPh sb="34" eb="36">
      <t>テイキョウ</t>
    </rPh>
    <rPh sb="42" eb="45">
      <t>コンダテヒョウ</t>
    </rPh>
    <rPh sb="45" eb="46">
      <t>トウ</t>
    </rPh>
    <rPh sb="48" eb="50">
      <t>テイシュツ</t>
    </rPh>
    <rPh sb="51" eb="52">
      <t>モト</t>
    </rPh>
    <rPh sb="56" eb="58">
      <t>リュウイ</t>
    </rPh>
    <phoneticPr fontId="1"/>
  </si>
  <si>
    <t>別紙5</t>
    <rPh sb="0" eb="2">
      <t>ベッシ</t>
    </rPh>
    <phoneticPr fontId="1"/>
  </si>
  <si>
    <t>別紙６‐１（「減算：定員を恒常的に超過する場合（1号）」の添付書類）</t>
    <rPh sb="0" eb="2">
      <t>ベッシ</t>
    </rPh>
    <rPh sb="7" eb="9">
      <t>ゲンサン</t>
    </rPh>
    <rPh sb="10" eb="12">
      <t>テイイン</t>
    </rPh>
    <rPh sb="13" eb="16">
      <t>コウジョウテキ</t>
    </rPh>
    <rPh sb="17" eb="19">
      <t>チョウカ</t>
    </rPh>
    <rPh sb="21" eb="23">
      <t>バアイ</t>
    </rPh>
    <rPh sb="25" eb="26">
      <t>ゴウ</t>
    </rPh>
    <rPh sb="29" eb="31">
      <t>テンプ</t>
    </rPh>
    <rPh sb="31" eb="33">
      <t>ショルイ</t>
    </rPh>
    <phoneticPr fontId="1"/>
  </si>
  <si>
    <t>別紙６‐２（「減算：定員を恒常的に超過する場合（1号）」の添付書類）</t>
    <rPh sb="0" eb="2">
      <t>ベッシ</t>
    </rPh>
    <rPh sb="7" eb="9">
      <t>ゲンサン</t>
    </rPh>
    <rPh sb="10" eb="12">
      <t>テイイン</t>
    </rPh>
    <rPh sb="13" eb="16">
      <t>コウジョウテキ</t>
    </rPh>
    <rPh sb="17" eb="19">
      <t>チョウカ</t>
    </rPh>
    <rPh sb="21" eb="23">
      <t>バアイ</t>
    </rPh>
    <rPh sb="25" eb="26">
      <t>ゴウ</t>
    </rPh>
    <rPh sb="29" eb="31">
      <t>テンプ</t>
    </rPh>
    <rPh sb="31" eb="33">
      <t>ショルイ</t>
    </rPh>
    <phoneticPr fontId="1"/>
  </si>
  <si>
    <t>　また、年間平均在所率が120%以上となった場合は、減算適用に従います。</t>
    <rPh sb="16" eb="18">
      <t>イジョウ</t>
    </rPh>
    <phoneticPr fontId="1"/>
  </si>
  <si>
    <t>2・3号</t>
    <rPh sb="3" eb="4">
      <t>ゴウ</t>
    </rPh>
    <phoneticPr fontId="1"/>
  </si>
  <si>
    <t>別紙６‐３（「減算：定員を恒常的に超過する場合（2・3号）」の添付書類）</t>
    <rPh sb="0" eb="2">
      <t>ベッシ</t>
    </rPh>
    <rPh sb="7" eb="9">
      <t>ゲンサン</t>
    </rPh>
    <rPh sb="10" eb="12">
      <t>テイイン</t>
    </rPh>
    <rPh sb="13" eb="16">
      <t>コウジョウテキ</t>
    </rPh>
    <rPh sb="17" eb="19">
      <t>チョウカ</t>
    </rPh>
    <rPh sb="21" eb="23">
      <t>バアイ</t>
    </rPh>
    <rPh sb="27" eb="28">
      <t>ゴウ</t>
    </rPh>
    <rPh sb="31" eb="33">
      <t>テンプ</t>
    </rPh>
    <rPh sb="33" eb="35">
      <t>ショルイ</t>
    </rPh>
    <phoneticPr fontId="1"/>
  </si>
  <si>
    <t>別紙６‐４（「減算：定員を恒常的に超過する場合」の添付書類）</t>
    <rPh sb="0" eb="2">
      <t>ベッシ</t>
    </rPh>
    <rPh sb="7" eb="9">
      <t>ゲンサン</t>
    </rPh>
    <rPh sb="10" eb="12">
      <t>テイイン</t>
    </rPh>
    <rPh sb="13" eb="16">
      <t>コウジョウテキ</t>
    </rPh>
    <rPh sb="17" eb="19">
      <t>チョウカ</t>
    </rPh>
    <rPh sb="21" eb="23">
      <t>バアイ</t>
    </rPh>
    <rPh sb="25" eb="27">
      <t>テンプ</t>
    </rPh>
    <rPh sb="27" eb="29">
      <t>ショルイ</t>
    </rPh>
    <phoneticPr fontId="1"/>
  </si>
  <si>
    <t>札幌市子ども未来局支援制度担当部長　宛</t>
    <rPh sb="0" eb="3">
      <t>サッポロシ</t>
    </rPh>
    <rPh sb="3" eb="4">
      <t>コ</t>
    </rPh>
    <rPh sb="6" eb="9">
      <t>ミライキョク</t>
    </rPh>
    <rPh sb="9" eb="11">
      <t>シエン</t>
    </rPh>
    <rPh sb="11" eb="13">
      <t>セイド</t>
    </rPh>
    <rPh sb="13" eb="15">
      <t>タントウ</t>
    </rPh>
    <rPh sb="15" eb="17">
      <t>ブチョウ</t>
    </rPh>
    <rPh sb="18" eb="19">
      <t>アテ</t>
    </rPh>
    <phoneticPr fontId="1"/>
  </si>
  <si>
    <t>①　別紙6－3（減算解除開始月の加算調整項目申請書提出時に提出すること）</t>
    <rPh sb="2" eb="4">
      <t>ベッシ</t>
    </rPh>
    <rPh sb="8" eb="15">
      <t>ゲンサンカイジョカイシツキ</t>
    </rPh>
    <rPh sb="16" eb="22">
      <t>カサンチョウセイコウモク</t>
    </rPh>
    <rPh sb="22" eb="25">
      <t>シンセイショ</t>
    </rPh>
    <rPh sb="25" eb="28">
      <t>テイシュツジ</t>
    </rPh>
    <rPh sb="29" eb="31">
      <t>テイシュツ</t>
    </rPh>
    <phoneticPr fontId="1"/>
  </si>
  <si>
    <t>②　別紙6－4（3月の加算調整項目申請書提出時に提出すること）</t>
    <rPh sb="9" eb="10">
      <t>ガツ</t>
    </rPh>
    <rPh sb="11" eb="20">
      <t>カサンチョウセイコウモクシンセイショ</t>
    </rPh>
    <rPh sb="20" eb="23">
      <t>テイシュツジ</t>
    </rPh>
    <rPh sb="24" eb="26">
      <t>テイシュツ</t>
    </rPh>
    <phoneticPr fontId="1"/>
  </si>
  <si>
    <t>別紙７（「主幹保育教諭等専任化未実施(1号)」の添付書類）</t>
    <rPh sb="0" eb="2">
      <t>ベッシ</t>
    </rPh>
    <rPh sb="5" eb="7">
      <t>シュカン</t>
    </rPh>
    <rPh sb="7" eb="9">
      <t>ホイク</t>
    </rPh>
    <rPh sb="9" eb="11">
      <t>キョウユ</t>
    </rPh>
    <rPh sb="11" eb="12">
      <t>トウ</t>
    </rPh>
    <rPh sb="12" eb="14">
      <t>センニン</t>
    </rPh>
    <rPh sb="14" eb="15">
      <t>カ</t>
    </rPh>
    <rPh sb="15" eb="16">
      <t>ミ</t>
    </rPh>
    <rPh sb="16" eb="18">
      <t>ジッシ</t>
    </rPh>
    <rPh sb="20" eb="21">
      <t>ゴウ</t>
    </rPh>
    <rPh sb="24" eb="26">
      <t>テンプ</t>
    </rPh>
    <rPh sb="26" eb="28">
      <t>ショルイ</t>
    </rPh>
    <phoneticPr fontId="1"/>
  </si>
  <si>
    <t>②　職員状況：職種区分を選択肢から選択してください。また、初日時点で有給・無給の是非を選択してください。</t>
    <phoneticPr fontId="1"/>
  </si>
  <si>
    <t>③　形態：常勤、非常勤の選択及び契約形態を選択してください。また、非常勤の場合は様式3、委託の場合は様式2でひと月の勤務時間数を記載してください。</t>
    <phoneticPr fontId="1"/>
  </si>
  <si>
    <t>④　雇用/契約開始日：雇用（業務委託の場合は契約）開始日を記載してください。例：西暦で「○○年△月□日」の場合は「○○/△/□」</t>
    <phoneticPr fontId="1"/>
  </si>
  <si>
    <t>時間外保育促進事業費等補助金</t>
    <rPh sb="0" eb="3">
      <t>ジカンガイ</t>
    </rPh>
    <rPh sb="3" eb="5">
      <t>ホイク</t>
    </rPh>
    <rPh sb="5" eb="7">
      <t>ソクシン</t>
    </rPh>
    <rPh sb="7" eb="9">
      <t>ジギョウ</t>
    </rPh>
    <rPh sb="9" eb="10">
      <t>ヒ</t>
    </rPh>
    <rPh sb="10" eb="11">
      <t>トウ</t>
    </rPh>
    <rPh sb="11" eb="14">
      <t>ホジョキン</t>
    </rPh>
    <phoneticPr fontId="1"/>
  </si>
  <si>
    <t>換算表</t>
    <rPh sb="0" eb="2">
      <t>カンサン</t>
    </rPh>
    <rPh sb="2" eb="3">
      <t>ヒョウ</t>
    </rPh>
    <phoneticPr fontId="3"/>
  </si>
  <si>
    <t>担当（通常給与で対応している分のみを計上し、超過勤務対応した分は除く）</t>
    <rPh sb="14" eb="15">
      <t>ブン</t>
    </rPh>
    <rPh sb="30" eb="31">
      <t>ブン</t>
    </rPh>
    <phoneticPr fontId="1"/>
  </si>
  <si>
    <t>配置者/条件</t>
    <rPh sb="0" eb="3">
      <t>ハイチシャ</t>
    </rPh>
    <rPh sb="4" eb="6">
      <t>ジョウケン</t>
    </rPh>
    <phoneticPr fontId="1"/>
  </si>
  <si>
    <t>勤務時間【時間】</t>
    <rPh sb="0" eb="4">
      <t>キンムジカン</t>
    </rPh>
    <rPh sb="5" eb="7">
      <t>ジカン</t>
    </rPh>
    <phoneticPr fontId="1"/>
  </si>
  <si>
    <t>確認</t>
    <rPh sb="0" eb="2">
      <t>カクニン</t>
    </rPh>
    <phoneticPr fontId="1"/>
  </si>
  <si>
    <t>担当時間【時間】</t>
    <rPh sb="0" eb="4">
      <t>タントウジカン</t>
    </rPh>
    <rPh sb="5" eb="7">
      <t>ジカン</t>
    </rPh>
    <phoneticPr fontId="1"/>
  </si>
  <si>
    <t>担当（各補助金で計上する人件費相当を計上。ただし、通常給与で対応している分のみを計上し、超過勤務対応した分は除く）</t>
    <rPh sb="36" eb="37">
      <t>ブン</t>
    </rPh>
    <rPh sb="52" eb="53">
      <t>ブン</t>
    </rPh>
    <phoneticPr fontId="1"/>
  </si>
  <si>
    <t>補助金名</t>
    <rPh sb="0" eb="3">
      <t>ホジョキン</t>
    </rPh>
    <rPh sb="3" eb="4">
      <t>メイ</t>
    </rPh>
    <phoneticPr fontId="1"/>
  </si>
  <si>
    <t>03認定こども園</t>
    <rPh sb="2" eb="4">
      <t>ニンテイ</t>
    </rPh>
    <rPh sb="7" eb="8">
      <t>エン</t>
    </rPh>
    <phoneticPr fontId="3"/>
  </si>
  <si>
    <r>
      <t>担任名(</t>
    </r>
    <r>
      <rPr>
        <b/>
        <sz val="10"/>
        <color rgb="FFFF0000"/>
        <rFont val="ＭＳ Ｐゴシック"/>
        <family val="3"/>
        <charset val="128"/>
      </rPr>
      <t>常勤専任</t>
    </r>
    <r>
      <rPr>
        <b/>
        <sz val="10"/>
        <rFont val="ＭＳ Ｐゴシック"/>
        <family val="3"/>
        <charset val="128"/>
      </rPr>
      <t>)</t>
    </r>
    <rPh sb="0" eb="2">
      <t>タンニン</t>
    </rPh>
    <rPh sb="2" eb="3">
      <t>メイ</t>
    </rPh>
    <rPh sb="4" eb="8">
      <t>ジョウキンセンニン</t>
    </rPh>
    <phoneticPr fontId="3"/>
  </si>
  <si>
    <t>常勤事務+非常勤事務(※2）</t>
    <rPh sb="0" eb="2">
      <t>ジョウキン</t>
    </rPh>
    <rPh sb="2" eb="4">
      <t>ジム</t>
    </rPh>
    <rPh sb="5" eb="8">
      <t>ヒジョウキン</t>
    </rPh>
    <rPh sb="8" eb="10">
      <t>ジム</t>
    </rPh>
    <phoneticPr fontId="1"/>
  </si>
  <si>
    <t>※2　1人分（1号認定こどもの利用定員が91名以上に限る）+週2日分</t>
    <rPh sb="4" eb="6">
      <t>ニンブン</t>
    </rPh>
    <rPh sb="8" eb="11">
      <t>ゴウニンテイ</t>
    </rPh>
    <rPh sb="15" eb="19">
      <t>リヨウテイイン</t>
    </rPh>
    <rPh sb="22" eb="25">
      <t>メイイジョウ</t>
    </rPh>
    <rPh sb="26" eb="27">
      <t>カギ</t>
    </rPh>
    <rPh sb="30" eb="31">
      <t>シュウ</t>
    </rPh>
    <rPh sb="32" eb="33">
      <t>ニチ</t>
    </rPh>
    <rPh sb="33" eb="34">
      <t>ブン</t>
    </rPh>
    <phoneticPr fontId="1"/>
  </si>
  <si>
    <t>※　1人分（1号認定こどもの利用定員が91名以上に限る）+週2日分</t>
    <rPh sb="3" eb="5">
      <t>ニンブン</t>
    </rPh>
    <rPh sb="7" eb="10">
      <t>ゴウニンテイ</t>
    </rPh>
    <rPh sb="14" eb="18">
      <t>リヨウテイイン</t>
    </rPh>
    <rPh sb="21" eb="24">
      <t>メイイジョウ</t>
    </rPh>
    <rPh sb="25" eb="26">
      <t>カギ</t>
    </rPh>
    <rPh sb="29" eb="30">
      <t>シュウ</t>
    </rPh>
    <rPh sb="31" eb="32">
      <t>ニチ</t>
    </rPh>
    <rPh sb="32" eb="33">
      <t>ブン</t>
    </rPh>
    <phoneticPr fontId="1"/>
  </si>
  <si>
    <t>→　常勤事務、非常勤事務（※）及び非常勤事務（専従）の計３名を配置している</t>
    <rPh sb="2" eb="4">
      <t>ジョウキン</t>
    </rPh>
    <rPh sb="4" eb="6">
      <t>ジム</t>
    </rPh>
    <rPh sb="7" eb="10">
      <t>ヒジョウキン</t>
    </rPh>
    <rPh sb="10" eb="12">
      <t>ジム</t>
    </rPh>
    <rPh sb="15" eb="16">
      <t>オヨ</t>
    </rPh>
    <rPh sb="17" eb="20">
      <t>ヒジョウキン</t>
    </rPh>
    <rPh sb="20" eb="22">
      <t>ジム</t>
    </rPh>
    <rPh sb="23" eb="25">
      <t>センジュウ</t>
    </rPh>
    <rPh sb="27" eb="28">
      <t>ケイ</t>
    </rPh>
    <rPh sb="29" eb="30">
      <t>メイ</t>
    </rPh>
    <rPh sb="31" eb="33">
      <t>ハイチ</t>
    </rPh>
    <phoneticPr fontId="1"/>
  </si>
  <si>
    <t>変更</t>
    <rPh sb="0" eb="2">
      <t>ヘンコウ</t>
    </rPh>
    <phoneticPr fontId="1"/>
  </si>
  <si>
    <t>事務兼務</t>
    <rPh sb="0" eb="2">
      <t>ジム</t>
    </rPh>
    <rPh sb="2" eb="4">
      <t>ケンム</t>
    </rPh>
    <phoneticPr fontId="1"/>
  </si>
  <si>
    <t>こりっつ認定こども園</t>
    <rPh sb="4" eb="6">
      <t>ニンテイ</t>
    </rPh>
    <rPh sb="9" eb="10">
      <t>エン</t>
    </rPh>
    <phoneticPr fontId="1"/>
  </si>
  <si>
    <t>別紙4</t>
    <rPh sb="0" eb="2">
      <t>ベッシ</t>
    </rPh>
    <phoneticPr fontId="1"/>
  </si>
  <si>
    <t>利用子どもの通園の便宜のために送迎を行っている(別紙4)</t>
    <rPh sb="0" eb="2">
      <t>リヨウ</t>
    </rPh>
    <rPh sb="2" eb="3">
      <t>コ</t>
    </rPh>
    <rPh sb="6" eb="8">
      <t>ツウエン</t>
    </rPh>
    <rPh sb="9" eb="11">
      <t>ベンギ</t>
    </rPh>
    <rPh sb="15" eb="17">
      <t>ソウゲイ</t>
    </rPh>
    <rPh sb="18" eb="19">
      <t>オコナ</t>
    </rPh>
    <rPh sb="24" eb="26">
      <t>ベッシ</t>
    </rPh>
    <phoneticPr fontId="1"/>
  </si>
  <si>
    <t>調理には調理員等を雇用・活用している（以下の(ｱ)～(ｲ)のどちらかを選択）</t>
    <rPh sb="0" eb="2">
      <t>チョウリ</t>
    </rPh>
    <rPh sb="4" eb="7">
      <t>チョウリイン</t>
    </rPh>
    <rPh sb="7" eb="8">
      <t>トウ</t>
    </rPh>
    <rPh sb="9" eb="11">
      <t>コヨウ</t>
    </rPh>
    <rPh sb="12" eb="14">
      <t>カツヨウ</t>
    </rPh>
    <rPh sb="19" eb="21">
      <t>イカ</t>
    </rPh>
    <rPh sb="35" eb="37">
      <t>センタク</t>
    </rPh>
    <phoneticPr fontId="1"/>
  </si>
  <si>
    <t>…イ</t>
    <phoneticPr fontId="1"/>
  </si>
  <si>
    <t>①　別紙5/様式2/様式5</t>
    <rPh sb="2" eb="4">
      <t>ベッシ</t>
    </rPh>
    <rPh sb="6" eb="8">
      <t>ヨウシキ</t>
    </rPh>
    <rPh sb="10" eb="12">
      <t>ヨウシキ</t>
    </rPh>
    <phoneticPr fontId="1"/>
  </si>
  <si>
    <t>定員超過①</t>
    <rPh sb="0" eb="2">
      <t>テイイン</t>
    </rPh>
    <rPh sb="2" eb="4">
      <t>チョウカ</t>
    </rPh>
    <phoneticPr fontId="1"/>
  </si>
  <si>
    <t>定員超過②</t>
    <rPh sb="0" eb="4">
      <t>テイインチョウカ</t>
    </rPh>
    <phoneticPr fontId="1"/>
  </si>
  <si>
    <t>定員見直し</t>
    <rPh sb="0" eb="4">
      <t>テイインミナオ</t>
    </rPh>
    <phoneticPr fontId="1"/>
  </si>
  <si>
    <t>受入人数見直し</t>
    <rPh sb="0" eb="2">
      <t>ウケイ</t>
    </rPh>
    <rPh sb="2" eb="4">
      <t>ニンズウ</t>
    </rPh>
    <rPh sb="4" eb="6">
      <t>ミナオ</t>
    </rPh>
    <phoneticPr fontId="1"/>
  </si>
  <si>
    <t>常勤調理員</t>
    <rPh sb="0" eb="5">
      <t>ジョウキンチョウリイン</t>
    </rPh>
    <phoneticPr fontId="1"/>
  </si>
  <si>
    <t>認定こども園しののめ</t>
    <rPh sb="0" eb="2">
      <t>ニンテイ</t>
    </rPh>
    <rPh sb="5" eb="6">
      <t>エン</t>
    </rPh>
    <phoneticPr fontId="1"/>
  </si>
  <si>
    <t>-</t>
    <phoneticPr fontId="1"/>
  </si>
  <si>
    <t>施設長</t>
    <phoneticPr fontId="1"/>
  </si>
  <si>
    <t>【例】札幌市子ども未来局認定こども園</t>
    <rPh sb="0" eb="3">
      <t>｢レイ｣</t>
    </rPh>
    <rPh sb="3" eb="7">
      <t>サッポロシコ</t>
    </rPh>
    <rPh sb="9" eb="12">
      <t>ミライキョク</t>
    </rPh>
    <rPh sb="12" eb="14">
      <t>ニンテイ</t>
    </rPh>
    <rPh sb="17" eb="18">
      <t>エン</t>
    </rPh>
    <phoneticPr fontId="1"/>
  </si>
  <si>
    <t>加配保育士等雇用促進補助金</t>
    <phoneticPr fontId="1"/>
  </si>
  <si>
    <t>※１　区分は以下のとおり。</t>
    <rPh sb="3" eb="5">
      <t>クブン</t>
    </rPh>
    <rPh sb="6" eb="8">
      <t>イカ</t>
    </rPh>
    <phoneticPr fontId="1"/>
  </si>
  <si>
    <t>※２　複数選択するとエラー。</t>
    <rPh sb="3" eb="7">
      <t>フクスウセンタク</t>
    </rPh>
    <phoneticPr fontId="1"/>
  </si>
  <si>
    <t>基本配置等を超えて配置※2</t>
    <rPh sb="0" eb="2">
      <t>キホン</t>
    </rPh>
    <rPh sb="2" eb="4">
      <t>ハイチ</t>
    </rPh>
    <rPh sb="4" eb="5">
      <t>トウ</t>
    </rPh>
    <rPh sb="6" eb="7">
      <t>コ</t>
    </rPh>
    <rPh sb="9" eb="11">
      <t>ハイチ</t>
    </rPh>
    <phoneticPr fontId="1"/>
  </si>
  <si>
    <t>兼務(基本配置の調理員等を充足しない場合も含む)※2</t>
    <rPh sb="0" eb="2">
      <t>ケンム</t>
    </rPh>
    <rPh sb="3" eb="5">
      <t>キホン</t>
    </rPh>
    <rPh sb="5" eb="7">
      <t>ハイチ</t>
    </rPh>
    <rPh sb="8" eb="11">
      <t>チョウリイン</t>
    </rPh>
    <rPh sb="11" eb="12">
      <t>トウ</t>
    </rPh>
    <rPh sb="13" eb="15">
      <t>ジュウソク</t>
    </rPh>
    <rPh sb="18" eb="20">
      <t>バアイ</t>
    </rPh>
    <rPh sb="21" eb="22">
      <t>フク</t>
    </rPh>
    <phoneticPr fontId="1"/>
  </si>
  <si>
    <t>↓下記は印刷不要です</t>
    <rPh sb="1" eb="3">
      <t>カキ</t>
    </rPh>
    <rPh sb="4" eb="6">
      <t>インサツ</t>
    </rPh>
    <rPh sb="6" eb="8">
      <t>フヨウ</t>
    </rPh>
    <phoneticPr fontId="1"/>
  </si>
  <si>
    <t>　 （※①）上の欄の基礎数により以下の端数処理を行った値を記入してください。</t>
    <rPh sb="6" eb="7">
      <t>ウエ</t>
    </rPh>
    <rPh sb="8" eb="9">
      <t>ラン</t>
    </rPh>
    <rPh sb="10" eb="12">
      <t>キソ</t>
    </rPh>
    <rPh sb="12" eb="13">
      <t>スウ</t>
    </rPh>
    <rPh sb="16" eb="18">
      <t>イカ</t>
    </rPh>
    <rPh sb="19" eb="21">
      <t>ハスウ</t>
    </rPh>
    <rPh sb="21" eb="23">
      <t>ショリ</t>
    </rPh>
    <rPh sb="24" eb="25">
      <t>オコナ</t>
    </rPh>
    <rPh sb="27" eb="28">
      <t>アタイ</t>
    </rPh>
    <rPh sb="29" eb="31">
      <t>キニュウ</t>
    </rPh>
    <phoneticPr fontId="1"/>
  </si>
  <si>
    <t>　 （※②）　利用定員区分ごとの上限人数</t>
    <rPh sb="16" eb="18">
      <t>ジョウゲン</t>
    </rPh>
    <rPh sb="18" eb="20">
      <t>ニンズウ</t>
    </rPh>
    <phoneticPr fontId="1"/>
  </si>
  <si>
    <t xml:space="preserve"> 　・　基礎数が3人未満の場合</t>
    <rPh sb="9" eb="10">
      <t>ヒト</t>
    </rPh>
    <rPh sb="10" eb="12">
      <t>ミマン</t>
    </rPh>
    <rPh sb="13" eb="15">
      <t>バアイ</t>
    </rPh>
    <phoneticPr fontId="1"/>
  </si>
  <si>
    <t>　　　小数点第1位を四捨五入する。　　　（例）2.3人の場合→2人</t>
    <phoneticPr fontId="1"/>
  </si>
  <si>
    <t xml:space="preserve">  　　45人以下：1人、　</t>
    <phoneticPr fontId="1"/>
  </si>
  <si>
    <t>　 ・　基礎数が3人以上の場合</t>
    <rPh sb="9" eb="10">
      <t>ヒト</t>
    </rPh>
    <rPh sb="10" eb="12">
      <t>イジョウ</t>
    </rPh>
    <rPh sb="13" eb="15">
      <t>バアイ</t>
    </rPh>
    <phoneticPr fontId="1"/>
  </si>
  <si>
    <t>　　  46人以上150人以下：2人、　　　　</t>
    <phoneticPr fontId="1"/>
  </si>
  <si>
    <t xml:space="preserve"> 　　（ⅰ）小数点第1位が2以下のとき</t>
    <rPh sb="14" eb="16">
      <t>イカ</t>
    </rPh>
    <phoneticPr fontId="1"/>
  </si>
  <si>
    <t>　　  151人以上240人以下：3人、</t>
    <phoneticPr fontId="1"/>
  </si>
  <si>
    <t>　　　　　小数点第1位を切り捨てる。　　　（例）3.2人の場合→3人</t>
    <phoneticPr fontId="1"/>
  </si>
  <si>
    <t xml:space="preserve"> 　　 241人以上270人以下：3.5人、</t>
    <phoneticPr fontId="1"/>
  </si>
  <si>
    <t>　　 （ⅱ）小数点第1位が3又は4のとき</t>
    <phoneticPr fontId="1"/>
  </si>
  <si>
    <t>　　  271人以上300人以下：5人、</t>
    <phoneticPr fontId="1"/>
  </si>
  <si>
    <t>　　　　　小数点第1位を5とする。　　　　　（例）3.4人の場合→3.5人</t>
    <rPh sb="23" eb="24">
      <t>レイ</t>
    </rPh>
    <phoneticPr fontId="1"/>
  </si>
  <si>
    <t xml:space="preserve"> 　　 301人以上450人以下：6人、</t>
    <phoneticPr fontId="1"/>
  </si>
  <si>
    <t>　　 （ⅲ）小数点第1位が5以上のとき</t>
    <phoneticPr fontId="1"/>
  </si>
  <si>
    <t xml:space="preserve"> 　　 451人以上：8人</t>
    <phoneticPr fontId="1"/>
  </si>
  <si>
    <t>　　　　　小数点第1位を切り上げる。　　　（例）3.6人の場合→4人</t>
    <rPh sb="22" eb="23">
      <t>レイ</t>
    </rPh>
    <phoneticPr fontId="1"/>
  </si>
  <si>
    <t>その他+保育教諭（発令無）</t>
    <rPh sb="2" eb="3">
      <t>タ</t>
    </rPh>
    <rPh sb="4" eb="8">
      <t>ホイクキョウユ</t>
    </rPh>
    <rPh sb="9" eb="12">
      <t>ハツレイナシ</t>
    </rPh>
    <phoneticPr fontId="1"/>
  </si>
  <si>
    <t>保育教諭（発令有）</t>
    <phoneticPr fontId="1"/>
  </si>
  <si>
    <t>保育教諭（発令無）</t>
    <phoneticPr fontId="1"/>
  </si>
  <si>
    <t>療育支援補助者を配置している（様式5）</t>
    <rPh sb="0" eb="2">
      <t>リョウイク</t>
    </rPh>
    <rPh sb="2" eb="4">
      <t>シエン</t>
    </rPh>
    <rPh sb="4" eb="6">
      <t>ホジョ</t>
    </rPh>
    <rPh sb="6" eb="7">
      <t>シャ</t>
    </rPh>
    <rPh sb="8" eb="10">
      <t>ハイチ</t>
    </rPh>
    <phoneticPr fontId="1"/>
  </si>
  <si>
    <t>下記のとおり事務職員を配置している(様式5)</t>
    <rPh sb="0" eb="2">
      <t>カキ</t>
    </rPh>
    <rPh sb="6" eb="8">
      <t>ジム</t>
    </rPh>
    <rPh sb="8" eb="10">
      <t>ショクイン</t>
    </rPh>
    <rPh sb="11" eb="13">
      <t>ハイチ</t>
    </rPh>
    <phoneticPr fontId="1"/>
  </si>
  <si>
    <t>-</t>
    <phoneticPr fontId="1"/>
  </si>
  <si>
    <t>保育教諭（発令有）</t>
  </si>
  <si>
    <t>教育標準時間認定子どもの利用定員を設定しない場合(減算）</t>
    <rPh sb="0" eb="2">
      <t>キョウイク</t>
    </rPh>
    <rPh sb="2" eb="4">
      <t>ヒョウジュン</t>
    </rPh>
    <rPh sb="4" eb="6">
      <t>ジカン</t>
    </rPh>
    <rPh sb="6" eb="8">
      <t>ニンテイ</t>
    </rPh>
    <rPh sb="8" eb="9">
      <t>コ</t>
    </rPh>
    <rPh sb="12" eb="14">
      <t>リヨウ</t>
    </rPh>
    <rPh sb="14" eb="16">
      <t>テイイン</t>
    </rPh>
    <rPh sb="17" eb="19">
      <t>セッテイ</t>
    </rPh>
    <rPh sb="22" eb="24">
      <t>バアイ</t>
    </rPh>
    <rPh sb="25" eb="27">
      <t>ゲンサン</t>
    </rPh>
    <phoneticPr fontId="1"/>
  </si>
  <si>
    <t>分園の場合(減算）</t>
    <rPh sb="0" eb="2">
      <t>ブンエン</t>
    </rPh>
    <rPh sb="3" eb="5">
      <t>バアイ</t>
    </rPh>
    <rPh sb="6" eb="8">
      <t>ゲンサン</t>
    </rPh>
    <phoneticPr fontId="1"/>
  </si>
  <si>
    <t>土曜日に閉所する場合（前月分実績は備考欄に記載）(減算）</t>
    <rPh sb="0" eb="3">
      <t>ドヨウビ</t>
    </rPh>
    <rPh sb="4" eb="6">
      <t>ヘイショ</t>
    </rPh>
    <rPh sb="8" eb="10">
      <t>バアイ</t>
    </rPh>
    <rPh sb="11" eb="13">
      <t>ゼンゲツ</t>
    </rPh>
    <rPh sb="13" eb="14">
      <t>ブン</t>
    </rPh>
    <rPh sb="14" eb="16">
      <t>ジッセキ</t>
    </rPh>
    <rPh sb="17" eb="20">
      <t>ビコウラン</t>
    </rPh>
    <rPh sb="21" eb="23">
      <t>キサイ</t>
    </rPh>
    <rPh sb="25" eb="27">
      <t>ゲンサン</t>
    </rPh>
    <phoneticPr fontId="1"/>
  </si>
  <si>
    <t>主幹保育教諭等の専任化により子育て支援の取組みを実施していない場合(１号)(減算）</t>
    <rPh sb="0" eb="2">
      <t>シュカン</t>
    </rPh>
    <rPh sb="2" eb="4">
      <t>ホイク</t>
    </rPh>
    <rPh sb="4" eb="6">
      <t>キョウユ</t>
    </rPh>
    <rPh sb="6" eb="7">
      <t>トウ</t>
    </rPh>
    <rPh sb="8" eb="10">
      <t>センニン</t>
    </rPh>
    <rPh sb="10" eb="11">
      <t>カ</t>
    </rPh>
    <rPh sb="14" eb="16">
      <t>コソダ</t>
    </rPh>
    <rPh sb="17" eb="19">
      <t>シエン</t>
    </rPh>
    <rPh sb="20" eb="21">
      <t>ト</t>
    </rPh>
    <rPh sb="21" eb="22">
      <t>ク</t>
    </rPh>
    <rPh sb="24" eb="26">
      <t>ジッシ</t>
    </rPh>
    <rPh sb="31" eb="33">
      <t>バアイ</t>
    </rPh>
    <rPh sb="35" eb="36">
      <t>ゴウ</t>
    </rPh>
    <rPh sb="38" eb="40">
      <t>ゲンサン</t>
    </rPh>
    <phoneticPr fontId="1"/>
  </si>
  <si>
    <t>主幹保育教諭等の専任化により子育て支援の取組みを実施していない場合(２・３号)(減算）</t>
    <rPh sb="0" eb="2">
      <t>シュカン</t>
    </rPh>
    <rPh sb="2" eb="4">
      <t>ホイク</t>
    </rPh>
    <rPh sb="4" eb="6">
      <t>キョウユ</t>
    </rPh>
    <rPh sb="6" eb="7">
      <t>トウ</t>
    </rPh>
    <rPh sb="8" eb="10">
      <t>センニン</t>
    </rPh>
    <rPh sb="10" eb="11">
      <t>カ</t>
    </rPh>
    <rPh sb="14" eb="16">
      <t>コソダ</t>
    </rPh>
    <rPh sb="17" eb="19">
      <t>シエン</t>
    </rPh>
    <rPh sb="20" eb="21">
      <t>ト</t>
    </rPh>
    <rPh sb="21" eb="22">
      <t>ク</t>
    </rPh>
    <rPh sb="24" eb="26">
      <t>ジッシ</t>
    </rPh>
    <rPh sb="31" eb="33">
      <t>バアイ</t>
    </rPh>
    <rPh sb="37" eb="38">
      <t>ゴウ</t>
    </rPh>
    <rPh sb="40" eb="42">
      <t>ゲンサン</t>
    </rPh>
    <phoneticPr fontId="1"/>
  </si>
  <si>
    <t>年齢別配置基準を下回る場合(減算）</t>
    <rPh sb="0" eb="2">
      <t>ネンレイ</t>
    </rPh>
    <rPh sb="2" eb="3">
      <t>ベツ</t>
    </rPh>
    <rPh sb="3" eb="5">
      <t>ハイチ</t>
    </rPh>
    <rPh sb="5" eb="7">
      <t>キジュン</t>
    </rPh>
    <rPh sb="8" eb="10">
      <t>シタマワ</t>
    </rPh>
    <rPh sb="11" eb="13">
      <t>バアイ</t>
    </rPh>
    <rPh sb="14" eb="16">
      <t>ゲンサン</t>
    </rPh>
    <phoneticPr fontId="1"/>
  </si>
  <si>
    <t>定員を恒常的に超過する場合(１号)(減算）</t>
    <rPh sb="0" eb="2">
      <t>テイイン</t>
    </rPh>
    <rPh sb="3" eb="6">
      <t>コウジョウテキ</t>
    </rPh>
    <rPh sb="7" eb="9">
      <t>チョウカ</t>
    </rPh>
    <rPh sb="11" eb="13">
      <t>バアイ</t>
    </rPh>
    <rPh sb="15" eb="16">
      <t>ゴウ</t>
    </rPh>
    <rPh sb="18" eb="20">
      <t>ゲンサン</t>
    </rPh>
    <phoneticPr fontId="1"/>
  </si>
  <si>
    <t>定員を恒常的に超過する場合(２・３号)(減算）</t>
    <rPh sb="0" eb="2">
      <t>テイイン</t>
    </rPh>
    <rPh sb="3" eb="6">
      <t>コウジョウテキ</t>
    </rPh>
    <rPh sb="7" eb="9">
      <t>チョウカ</t>
    </rPh>
    <rPh sb="11" eb="13">
      <t>バアイ</t>
    </rPh>
    <rPh sb="17" eb="18">
      <t>ゴウ</t>
    </rPh>
    <rPh sb="20" eb="22">
      <t>ゲンサン</t>
    </rPh>
    <phoneticPr fontId="1"/>
  </si>
  <si>
    <t>保認</t>
    <rPh sb="0" eb="2">
      <t>ホニン</t>
    </rPh>
    <phoneticPr fontId="1"/>
  </si>
  <si>
    <t>認定こども園札幌ルーテル幼稚園</t>
    <rPh sb="0" eb="2">
      <t>ニンテイ</t>
    </rPh>
    <rPh sb="5" eb="6">
      <t>エン</t>
    </rPh>
    <rPh sb="6" eb="8">
      <t>サッポロ</t>
    </rPh>
    <rPh sb="12" eb="15">
      <t>ヨウチエン</t>
    </rPh>
    <phoneticPr fontId="1"/>
  </si>
  <si>
    <t>幼稚園型認定こども園大通幼稚園</t>
    <rPh sb="0" eb="4">
      <t>ヨウチエンガタ</t>
    </rPh>
    <rPh sb="4" eb="6">
      <t>ニンテイ</t>
    </rPh>
    <rPh sb="9" eb="10">
      <t>エン</t>
    </rPh>
    <rPh sb="10" eb="12">
      <t>オオドオリ</t>
    </rPh>
    <rPh sb="12" eb="15">
      <t>ヨウチエン</t>
    </rPh>
    <phoneticPr fontId="1"/>
  </si>
  <si>
    <t>幼保連携型認定こども園ＣｉｎｑＰｅｒｌｅｓ幼稚園</t>
    <rPh sb="0" eb="7">
      <t>ヨウホレンケイガタニンテイ</t>
    </rPh>
    <rPh sb="5" eb="7">
      <t>ニンテイ</t>
    </rPh>
    <rPh sb="10" eb="11">
      <t>エン</t>
    </rPh>
    <rPh sb="21" eb="24">
      <t>ヨウチエン</t>
    </rPh>
    <phoneticPr fontId="1"/>
  </si>
  <si>
    <t>認定こども園屯田すずらん</t>
    <rPh sb="0" eb="2">
      <t>ニンテイ</t>
    </rPh>
    <rPh sb="5" eb="6">
      <t>エン</t>
    </rPh>
    <rPh sb="6" eb="8">
      <t>トンデン</t>
    </rPh>
    <phoneticPr fontId="1"/>
  </si>
  <si>
    <t>屯田おおふじ子ども園</t>
    <rPh sb="0" eb="2">
      <t>トンデン</t>
    </rPh>
    <rPh sb="6" eb="7">
      <t>コ</t>
    </rPh>
    <rPh sb="9" eb="10">
      <t>エン</t>
    </rPh>
    <phoneticPr fontId="1"/>
  </si>
  <si>
    <t>認定こども園麻生明星幼稚園</t>
    <rPh sb="0" eb="2">
      <t>ニンテイ</t>
    </rPh>
    <rPh sb="5" eb="6">
      <t>エン</t>
    </rPh>
    <rPh sb="6" eb="8">
      <t>アサブ</t>
    </rPh>
    <rPh sb="8" eb="10">
      <t>ミョウジョウ</t>
    </rPh>
    <rPh sb="10" eb="13">
      <t>ヨウチエン</t>
    </rPh>
    <phoneticPr fontId="1"/>
  </si>
  <si>
    <t>篠路高洋保育園</t>
  </si>
  <si>
    <t>三和新琴似保育園</t>
  </si>
  <si>
    <t>あかつき篠路保育園</t>
  </si>
  <si>
    <t>札幌北保育園</t>
  </si>
  <si>
    <t>札幌こばと保育園</t>
  </si>
  <si>
    <t>新琴似中央保育園</t>
  </si>
  <si>
    <t>認定こども園あいの里せせらぎ保育園</t>
    <rPh sb="0" eb="2">
      <t>ニンテイ</t>
    </rPh>
    <rPh sb="5" eb="6">
      <t>エン</t>
    </rPh>
    <phoneticPr fontId="1"/>
  </si>
  <si>
    <t>認定こども園新川西コグマ保育園</t>
    <rPh sb="0" eb="2">
      <t>ニンテイ</t>
    </rPh>
    <rPh sb="5" eb="6">
      <t>エン</t>
    </rPh>
    <rPh sb="6" eb="8">
      <t>シンカワ</t>
    </rPh>
    <rPh sb="8" eb="9">
      <t>ニシ</t>
    </rPh>
    <rPh sb="12" eb="15">
      <t>ホイクエン</t>
    </rPh>
    <phoneticPr fontId="1"/>
  </si>
  <si>
    <t>きずな北保育園</t>
    <rPh sb="3" eb="4">
      <t>キタ</t>
    </rPh>
    <phoneticPr fontId="1"/>
  </si>
  <si>
    <t>認定こども園茨戸メリー幼稚園</t>
    <rPh sb="0" eb="2">
      <t>ニンテイ</t>
    </rPh>
    <rPh sb="5" eb="6">
      <t>エン</t>
    </rPh>
    <rPh sb="6" eb="8">
      <t>バラト</t>
    </rPh>
    <rPh sb="11" eb="14">
      <t>ヨウチエン</t>
    </rPh>
    <phoneticPr fontId="1"/>
  </si>
  <si>
    <t>麻生むつみこども園</t>
    <rPh sb="8" eb="9">
      <t>エン</t>
    </rPh>
    <phoneticPr fontId="1"/>
  </si>
  <si>
    <t>認定こども園元町杉の子保育園</t>
    <rPh sb="0" eb="2">
      <t>ニンテイ</t>
    </rPh>
    <rPh sb="5" eb="6">
      <t>エン</t>
    </rPh>
    <phoneticPr fontId="1"/>
  </si>
  <si>
    <t>日の丸保育園</t>
  </si>
  <si>
    <t>幼保連携型認定こども園北郷札幌幼稚園</t>
    <rPh sb="0" eb="7">
      <t>ヨウホレンケイガタニンテイ</t>
    </rPh>
    <rPh sb="10" eb="11">
      <t>エン</t>
    </rPh>
    <rPh sb="11" eb="12">
      <t>キタ</t>
    </rPh>
    <rPh sb="12" eb="13">
      <t>ゴウ</t>
    </rPh>
    <rPh sb="13" eb="15">
      <t>サッポロ</t>
    </rPh>
    <rPh sb="15" eb="18">
      <t>ヨウチエン</t>
    </rPh>
    <phoneticPr fontId="3"/>
  </si>
  <si>
    <t>認定こども園菊水すずらん</t>
    <rPh sb="0" eb="2">
      <t>ニンテイ</t>
    </rPh>
    <rPh sb="5" eb="6">
      <t>エン</t>
    </rPh>
    <rPh sb="6" eb="8">
      <t>キクスイ</t>
    </rPh>
    <phoneticPr fontId="1"/>
  </si>
  <si>
    <t>認定こども園菊水元町第二保育園</t>
    <rPh sb="0" eb="2">
      <t>ニンテイ</t>
    </rPh>
    <rPh sb="5" eb="6">
      <t>エン</t>
    </rPh>
    <phoneticPr fontId="1"/>
  </si>
  <si>
    <t>保育所型認定こども園白石中央保育園</t>
    <rPh sb="0" eb="4">
      <t>ホイクショガタ</t>
    </rPh>
    <rPh sb="4" eb="6">
      <t>ニンテイ</t>
    </rPh>
    <rPh sb="9" eb="10">
      <t>エン</t>
    </rPh>
    <rPh sb="12" eb="14">
      <t>チュウオウ</t>
    </rPh>
    <phoneticPr fontId="1"/>
  </si>
  <si>
    <t>厚別西認定こども園</t>
    <rPh sb="3" eb="5">
      <t>ニンテイ</t>
    </rPh>
    <rPh sb="8" eb="9">
      <t>エン</t>
    </rPh>
    <phoneticPr fontId="1"/>
  </si>
  <si>
    <t>認定こども園札幌わんぱく館</t>
    <rPh sb="0" eb="2">
      <t>ニンテイ</t>
    </rPh>
    <rPh sb="5" eb="6">
      <t>エン</t>
    </rPh>
    <phoneticPr fontId="1"/>
  </si>
  <si>
    <t>ひばりが丘あすなろ認定こども園</t>
    <rPh sb="9" eb="11">
      <t>ニンテイ</t>
    </rPh>
    <rPh sb="14" eb="15">
      <t>エン</t>
    </rPh>
    <phoneticPr fontId="1"/>
  </si>
  <si>
    <t>認定こども園札幌ゆたか幼稚園</t>
    <rPh sb="0" eb="2">
      <t>ニンテイ</t>
    </rPh>
    <rPh sb="5" eb="6">
      <t>エン</t>
    </rPh>
    <rPh sb="6" eb="8">
      <t>サッポロ</t>
    </rPh>
    <rPh sb="11" eb="14">
      <t>ヨウチエン</t>
    </rPh>
    <phoneticPr fontId="1"/>
  </si>
  <si>
    <t>認定こども園みのり保育園</t>
    <rPh sb="0" eb="2">
      <t>ニンテイ</t>
    </rPh>
    <rPh sb="5" eb="6">
      <t>エン</t>
    </rPh>
    <rPh sb="9" eb="12">
      <t>ホイクエン</t>
    </rPh>
    <phoneticPr fontId="1"/>
  </si>
  <si>
    <t>認定こども園中の島保育園</t>
    <rPh sb="0" eb="2">
      <t>ニンテイ</t>
    </rPh>
    <rPh sb="5" eb="6">
      <t>エン</t>
    </rPh>
    <rPh sb="6" eb="7">
      <t>ナカ</t>
    </rPh>
    <rPh sb="8" eb="9">
      <t>シマ</t>
    </rPh>
    <rPh sb="9" eb="12">
      <t>ホイクエン</t>
    </rPh>
    <phoneticPr fontId="1"/>
  </si>
  <si>
    <t>東月寒認定こども園</t>
    <rPh sb="3" eb="5">
      <t>ニンテイ</t>
    </rPh>
    <rPh sb="8" eb="9">
      <t>エン</t>
    </rPh>
    <phoneticPr fontId="1"/>
  </si>
  <si>
    <t>認定こども園とよひら保育園</t>
    <rPh sb="0" eb="2">
      <t>ニンテイ</t>
    </rPh>
    <rPh sb="5" eb="6">
      <t>エン</t>
    </rPh>
    <rPh sb="10" eb="13">
      <t>ホイクエン</t>
    </rPh>
    <phoneticPr fontId="1"/>
  </si>
  <si>
    <t>認定こども園ひかり</t>
    <rPh sb="0" eb="2">
      <t>ニンテイ</t>
    </rPh>
    <rPh sb="5" eb="6">
      <t>エン</t>
    </rPh>
    <phoneticPr fontId="1"/>
  </si>
  <si>
    <t>認定こども園札幌きたの幼稚園</t>
    <rPh sb="0" eb="2">
      <t>ニンテイ</t>
    </rPh>
    <rPh sb="5" eb="6">
      <t>エン</t>
    </rPh>
    <rPh sb="6" eb="8">
      <t>サッポロ</t>
    </rPh>
    <rPh sb="11" eb="14">
      <t>ヨウチエン</t>
    </rPh>
    <phoneticPr fontId="1"/>
  </si>
  <si>
    <t>幼保連携型認定こども園ときわみなみのこどもえん</t>
    <rPh sb="0" eb="7">
      <t>ヨウホレンケイガタニンテイ</t>
    </rPh>
    <rPh sb="10" eb="11">
      <t>エン</t>
    </rPh>
    <phoneticPr fontId="1"/>
  </si>
  <si>
    <t>認定こども園まこまない明星幼稚園</t>
    <rPh sb="0" eb="2">
      <t>ニンテイ</t>
    </rPh>
    <rPh sb="5" eb="6">
      <t>エン</t>
    </rPh>
    <rPh sb="11" eb="16">
      <t>ミョウジョウヨウチエン</t>
    </rPh>
    <phoneticPr fontId="1"/>
  </si>
  <si>
    <t>認定こども園定山渓保育園</t>
    <rPh sb="0" eb="2">
      <t>ニンテイ</t>
    </rPh>
    <rPh sb="5" eb="6">
      <t>エン</t>
    </rPh>
    <rPh sb="6" eb="9">
      <t>ジョウザンケイ</t>
    </rPh>
    <rPh sb="9" eb="12">
      <t>ホイクエン</t>
    </rPh>
    <phoneticPr fontId="1"/>
  </si>
  <si>
    <t>認定こども園澄川保育園</t>
    <rPh sb="0" eb="2">
      <t>ニンテイ</t>
    </rPh>
    <rPh sb="5" eb="6">
      <t>エン</t>
    </rPh>
    <rPh sb="6" eb="8">
      <t>スミカワ</t>
    </rPh>
    <rPh sb="8" eb="11">
      <t>ホイクエン</t>
    </rPh>
    <phoneticPr fontId="1"/>
  </si>
  <si>
    <t>幼保連携型認定こども園幸明幼稚園</t>
    <rPh sb="0" eb="7">
      <t>ヨウホレンケイガタニンテイ</t>
    </rPh>
    <rPh sb="10" eb="11">
      <t>エン</t>
    </rPh>
    <rPh sb="11" eb="16">
      <t>コウメイヨウチエン</t>
    </rPh>
    <phoneticPr fontId="1"/>
  </si>
  <si>
    <t>認定こども園琴似教会幼稚園</t>
    <rPh sb="0" eb="2">
      <t>ニンテイ</t>
    </rPh>
    <rPh sb="5" eb="6">
      <t>エン</t>
    </rPh>
    <rPh sb="6" eb="8">
      <t>コトニ</t>
    </rPh>
    <rPh sb="8" eb="10">
      <t>キョウカイ</t>
    </rPh>
    <rPh sb="10" eb="13">
      <t>ヨウチエン</t>
    </rPh>
    <phoneticPr fontId="1"/>
  </si>
  <si>
    <t>八軒太陽の子保育園</t>
  </si>
  <si>
    <t>西野あおい保育園</t>
  </si>
  <si>
    <t>認定こども園発寒わんぱく保育園</t>
    <rPh sb="0" eb="2">
      <t>ニンテイ</t>
    </rPh>
    <rPh sb="5" eb="6">
      <t>エン</t>
    </rPh>
    <phoneticPr fontId="1"/>
  </si>
  <si>
    <t>手稲やまなみ子ども園</t>
    <rPh sb="0" eb="2">
      <t>テイネ</t>
    </rPh>
    <rPh sb="6" eb="7">
      <t>コ</t>
    </rPh>
    <rPh sb="9" eb="10">
      <t>エン</t>
    </rPh>
    <phoneticPr fontId="1"/>
  </si>
  <si>
    <t>認定こども園おおぞら幼稚園</t>
    <rPh sb="0" eb="2">
      <t>ニンテイ</t>
    </rPh>
    <rPh sb="5" eb="6">
      <t>エン</t>
    </rPh>
    <rPh sb="10" eb="13">
      <t>ヨウチエン</t>
    </rPh>
    <phoneticPr fontId="1"/>
  </si>
  <si>
    <t>あかつき山口保育園</t>
  </si>
  <si>
    <t>前田中央保育園</t>
  </si>
  <si>
    <t>稲穂中央保育園</t>
  </si>
  <si>
    <t>認定こども園いなほガーデン星の子幼稚園</t>
    <rPh sb="0" eb="2">
      <t>ニンテイ</t>
    </rPh>
    <rPh sb="5" eb="6">
      <t>エン</t>
    </rPh>
    <rPh sb="13" eb="14">
      <t>ホシ</t>
    </rPh>
    <rPh sb="15" eb="16">
      <t>コ</t>
    </rPh>
    <rPh sb="16" eb="19">
      <t>ヨウチエン</t>
    </rPh>
    <phoneticPr fontId="1"/>
  </si>
  <si>
    <t xml:space="preserve"> 加算要件
(1～2の要件全てに該当し、かつ下記の利用児童数表を適切に記載した場合に加算)</t>
    <rPh sb="1" eb="3">
      <t>カサン</t>
    </rPh>
    <rPh sb="3" eb="5">
      <t>ヨウケン</t>
    </rPh>
    <rPh sb="23" eb="24">
      <t>シタ</t>
    </rPh>
    <rPh sb="24" eb="25">
      <t>キ</t>
    </rPh>
    <rPh sb="26" eb="28">
      <t>リヨウ</t>
    </rPh>
    <rPh sb="28" eb="30">
      <t>ジドウ</t>
    </rPh>
    <rPh sb="30" eb="31">
      <t>スウ</t>
    </rPh>
    <rPh sb="31" eb="32">
      <t>ヒョウ</t>
    </rPh>
    <rPh sb="33" eb="35">
      <t>テキセツ</t>
    </rPh>
    <rPh sb="36" eb="38">
      <t>キサイ</t>
    </rPh>
    <phoneticPr fontId="1"/>
  </si>
  <si>
    <t>対象子ども※2の年齢及び人数に応じて保育士を配置し、実施体制を整備している（別紙3）</t>
    <rPh sb="18" eb="21">
      <t>ホイクシ</t>
    </rPh>
    <rPh sb="22" eb="24">
      <t>ハイチ</t>
    </rPh>
    <rPh sb="26" eb="28">
      <t>ジッシ</t>
    </rPh>
    <phoneticPr fontId="1"/>
  </si>
  <si>
    <t>※6　前年度の平均人数や、一昨年以前の実績を元に算出することとし、今年度の申込状況等に応じた見込とすることはできない</t>
    <rPh sb="3" eb="6">
      <t>ゼンネンド</t>
    </rPh>
    <rPh sb="7" eb="9">
      <t>ヘイキン</t>
    </rPh>
    <rPh sb="9" eb="11">
      <t>ニンズウ</t>
    </rPh>
    <rPh sb="13" eb="16">
      <t>イッサクネン</t>
    </rPh>
    <rPh sb="16" eb="18">
      <t>イゼン</t>
    </rPh>
    <rPh sb="19" eb="21">
      <t>ジッセキ</t>
    </rPh>
    <rPh sb="22" eb="23">
      <t>モト</t>
    </rPh>
    <rPh sb="24" eb="26">
      <t>サンシュツ</t>
    </rPh>
    <rPh sb="33" eb="36">
      <t>コンネンド</t>
    </rPh>
    <rPh sb="37" eb="38">
      <t>モウ</t>
    </rPh>
    <rPh sb="38" eb="39">
      <t>コ</t>
    </rPh>
    <rPh sb="39" eb="41">
      <t>ジョウキョウ</t>
    </rPh>
    <rPh sb="41" eb="42">
      <t>トウ</t>
    </rPh>
    <rPh sb="43" eb="44">
      <t>オウ</t>
    </rPh>
    <rPh sb="46" eb="48">
      <t>ミコミ</t>
    </rPh>
    <phoneticPr fontId="1"/>
  </si>
  <si>
    <t>各月見込</t>
    <rPh sb="0" eb="4">
      <t>カクツキミコミ</t>
    </rPh>
    <phoneticPr fontId="1"/>
  </si>
  <si>
    <t>今月は</t>
    <rPh sb="0" eb="2">
      <t>コンゲツ</t>
    </rPh>
    <phoneticPr fontId="1"/>
  </si>
  <si>
    <t>　毎月分作成する必要があります。</t>
    <rPh sb="4" eb="6">
      <t>サクセイ</t>
    </rPh>
    <phoneticPr fontId="1"/>
  </si>
  <si>
    <t>年間見込</t>
    <rPh sb="0" eb="2">
      <t>ネンカン</t>
    </rPh>
    <rPh sb="2" eb="4">
      <t>ミコミ</t>
    </rPh>
    <phoneticPr fontId="1"/>
  </si>
  <si>
    <t>給食
（間食）</t>
    <rPh sb="0" eb="2">
      <t>キュウショク</t>
    </rPh>
    <rPh sb="4" eb="6">
      <t>カンショク</t>
    </rPh>
    <phoneticPr fontId="1"/>
  </si>
  <si>
    <t>延べ利用子ども数（見込）の年齢及び人数に応じて保育士を配置している</t>
    <rPh sb="0" eb="1">
      <t>ノ</t>
    </rPh>
    <rPh sb="2" eb="4">
      <t>リヨウ</t>
    </rPh>
    <rPh sb="4" eb="5">
      <t>コ</t>
    </rPh>
    <rPh sb="7" eb="8">
      <t>スウ</t>
    </rPh>
    <rPh sb="9" eb="11">
      <t>ミコ</t>
    </rPh>
    <phoneticPr fontId="1"/>
  </si>
  <si>
    <t>配置基準</t>
    <rPh sb="0" eb="4">
      <t>ハイチキジュン</t>
    </rPh>
    <phoneticPr fontId="1"/>
  </si>
  <si>
    <t>必要職員数</t>
    <rPh sb="0" eb="2">
      <t>ヒツヨウ</t>
    </rPh>
    <rPh sb="2" eb="5">
      <t>ショクインスウ</t>
    </rPh>
    <phoneticPr fontId="1"/>
  </si>
  <si>
    <t>配置職員
（常勤換算数）</t>
    <rPh sb="0" eb="2">
      <t>ハイチ</t>
    </rPh>
    <rPh sb="2" eb="4">
      <t>ショクイン</t>
    </rPh>
    <rPh sb="6" eb="11">
      <t>ジョウキンカンサンスウ</t>
    </rPh>
    <phoneticPr fontId="1"/>
  </si>
  <si>
    <t>3：1</t>
    <phoneticPr fontId="1"/>
  </si>
  <si>
    <t>通常給与対応分</t>
    <rPh sb="0" eb="4">
      <t>ツウジョウキュウヨ</t>
    </rPh>
    <rPh sb="4" eb="6">
      <t>タイオウ</t>
    </rPh>
    <rPh sb="6" eb="7">
      <t>ブン</t>
    </rPh>
    <phoneticPr fontId="1"/>
  </si>
  <si>
    <t>6：1</t>
    <phoneticPr fontId="1"/>
  </si>
  <si>
    <t>（ア）</t>
    <phoneticPr fontId="1"/>
  </si>
  <si>
    <t>20：1</t>
    <phoneticPr fontId="1"/>
  </si>
  <si>
    <t>超過勤務対応分</t>
    <rPh sb="0" eb="4">
      <t>チョウカキンム</t>
    </rPh>
    <rPh sb="4" eb="6">
      <t>タイオウ</t>
    </rPh>
    <rPh sb="6" eb="7">
      <t>ブン</t>
    </rPh>
    <phoneticPr fontId="1"/>
  </si>
  <si>
    <t>30：1</t>
    <phoneticPr fontId="1"/>
  </si>
  <si>
    <t>（イ）</t>
    <phoneticPr fontId="1"/>
  </si>
  <si>
    <t>エラー：延べ利用子ども数（見込）を個票と一致させてください。</t>
    <rPh sb="4" eb="5">
      <t>ノ</t>
    </rPh>
    <rPh sb="6" eb="9">
      <t>リヨウコ</t>
    </rPh>
    <rPh sb="11" eb="12">
      <t>スウ</t>
    </rPh>
    <rPh sb="13" eb="15">
      <t>ミコ</t>
    </rPh>
    <rPh sb="17" eb="19">
      <t>コヒョウ</t>
    </rPh>
    <rPh sb="20" eb="22">
      <t>イッチ</t>
    </rPh>
    <phoneticPr fontId="1"/>
  </si>
  <si>
    <t>※必要職員数の下限は0.5名です。</t>
    <rPh sb="1" eb="5">
      <t>ヒツヨウショクイン</t>
    </rPh>
    <rPh sb="5" eb="6">
      <t>スウ</t>
    </rPh>
    <rPh sb="7" eb="9">
      <t>カゲン</t>
    </rPh>
    <rPh sb="13" eb="14">
      <t>メイ</t>
    </rPh>
    <phoneticPr fontId="1"/>
  </si>
  <si>
    <t>配置職員（通常給与による対応）</t>
    <rPh sb="0" eb="4">
      <t>ハイチショクイン</t>
    </rPh>
    <rPh sb="5" eb="9">
      <t>ツウジョウキュウヨ</t>
    </rPh>
    <rPh sb="12" eb="14">
      <t>タイオウ</t>
    </rPh>
    <phoneticPr fontId="1"/>
  </si>
  <si>
    <t>様式５より引用</t>
    <rPh sb="0" eb="2">
      <t>ヨウシキ</t>
    </rPh>
    <rPh sb="5" eb="7">
      <t>インヨウ</t>
    </rPh>
    <phoneticPr fontId="1"/>
  </si>
  <si>
    <t>配置職員（超過勤務による対応）</t>
    <rPh sb="0" eb="4">
      <t>ハイチショクイン</t>
    </rPh>
    <rPh sb="5" eb="9">
      <t>チョウカキンム</t>
    </rPh>
    <rPh sb="12" eb="14">
      <t>タイオウ</t>
    </rPh>
    <phoneticPr fontId="1"/>
  </si>
  <si>
    <t>以下のとおり</t>
    <rPh sb="0" eb="2">
      <t>イカ</t>
    </rPh>
    <phoneticPr fontId="1"/>
  </si>
  <si>
    <t>常勤換算数</t>
    <rPh sb="0" eb="4">
      <t>ジョウキンカンサン</t>
    </rPh>
    <rPh sb="4" eb="5">
      <t>スウ</t>
    </rPh>
    <phoneticPr fontId="1"/>
  </si>
  <si>
    <t>※土曜日</t>
    <rPh sb="1" eb="4">
      <t>ドヨウビ</t>
    </rPh>
    <phoneticPr fontId="1"/>
  </si>
  <si>
    <t>①　様式2/様式5</t>
    <rPh sb="2" eb="4">
      <t>ヨウシキ</t>
    </rPh>
    <rPh sb="6" eb="8">
      <t>ヨウシキ</t>
    </rPh>
    <phoneticPr fontId="1"/>
  </si>
  <si>
    <t>②　雇用契約書。正職員の場合は発令書等とし、いずれも事務専従であること。</t>
    <phoneticPr fontId="1"/>
  </si>
  <si>
    <t>①　別紙３/様式５（毎月作成）</t>
    <rPh sb="2" eb="4">
      <t>ベッシ</t>
    </rPh>
    <rPh sb="6" eb="8">
      <t>ヨウシキ</t>
    </rPh>
    <rPh sb="10" eb="12">
      <t>マイツキ</t>
    </rPh>
    <rPh sb="12" eb="14">
      <t>サクセイ</t>
    </rPh>
    <phoneticPr fontId="1"/>
  </si>
  <si>
    <t>② 契約書等の写し(建物の整備、改修または取得する際に費用が発生していることがわかるもの)</t>
    <phoneticPr fontId="1"/>
  </si>
  <si>
    <t>③　要件3で×を選択した場合：要件３－①～③を証明する書類</t>
    <phoneticPr fontId="1"/>
  </si>
  <si>
    <t>②　事業要件のうち4に該当する場合、障がい児の挙証書類1点（障害者手帳（療育支援手帳を含む）、医師の診断書、札幌市障がい児保育認定通知、通所支援受給者証）。なお、該当児童1名分とし、全員分は不要。</t>
    <rPh sb="2" eb="4">
      <t>ジギョウ</t>
    </rPh>
    <rPh sb="4" eb="6">
      <t>ヨウケン</t>
    </rPh>
    <rPh sb="11" eb="13">
      <t>ガイトウ</t>
    </rPh>
    <rPh sb="15" eb="17">
      <t>バアイ</t>
    </rPh>
    <rPh sb="18" eb="19">
      <t>ショウ</t>
    </rPh>
    <rPh sb="21" eb="22">
      <t>ジ</t>
    </rPh>
    <rPh sb="23" eb="25">
      <t>キョショウ</t>
    </rPh>
    <rPh sb="25" eb="27">
      <t>ショルイ</t>
    </rPh>
    <rPh sb="28" eb="29">
      <t>テン</t>
    </rPh>
    <phoneticPr fontId="1"/>
  </si>
  <si>
    <t>②　事業要件のうち⑤に該当する場合、障がい児の挙証書類1点（障害者手帳（療育支援手帳を含む）、医師の診断書、札幌市障がい児保育認定通知、通所支援受給者証）。なお、該当児童1名分とし、全員分は不要。</t>
    <rPh sb="2" eb="4">
      <t>ジギョウ</t>
    </rPh>
    <rPh sb="4" eb="6">
      <t>ヨウケン</t>
    </rPh>
    <rPh sb="11" eb="13">
      <t>ガイトウ</t>
    </rPh>
    <rPh sb="15" eb="17">
      <t>バアイ</t>
    </rPh>
    <rPh sb="18" eb="19">
      <t>ショウ</t>
    </rPh>
    <rPh sb="21" eb="22">
      <t>ジ</t>
    </rPh>
    <rPh sb="23" eb="25">
      <t>キョショウ</t>
    </rPh>
    <rPh sb="25" eb="27">
      <t>ショルイ</t>
    </rPh>
    <rPh sb="28" eb="29">
      <t>テン</t>
    </rPh>
    <phoneticPr fontId="1"/>
  </si>
  <si>
    <t>①　障がい児の挙証書類1点（障害者手帳（療育支援手帳を含む）、医師の診断書、札幌市障がい児保育認定通知、通所支援受給者証）。なお、該当児童1名分とし、全員分は不要。</t>
    <rPh sb="2" eb="3">
      <t>ショウ</t>
    </rPh>
    <rPh sb="5" eb="6">
      <t>ジ</t>
    </rPh>
    <rPh sb="7" eb="9">
      <t>キョショウ</t>
    </rPh>
    <rPh sb="9" eb="11">
      <t>ショルイ</t>
    </rPh>
    <rPh sb="12" eb="13">
      <t>テン</t>
    </rPh>
    <phoneticPr fontId="1"/>
  </si>
  <si>
    <t>【作成要領・提出書類チェック表】</t>
    <rPh sb="1" eb="3">
      <t>サクセイ</t>
    </rPh>
    <rPh sb="3" eb="5">
      <t>ヨウリョウ</t>
    </rPh>
    <rPh sb="6" eb="8">
      <t>テイシュツ</t>
    </rPh>
    <rPh sb="8" eb="10">
      <t>ショルイ</t>
    </rPh>
    <rPh sb="14" eb="15">
      <t>ヒョウ</t>
    </rPh>
    <phoneticPr fontId="3"/>
  </si>
  <si>
    <t>黄色</t>
    <rPh sb="0" eb="2">
      <t>キイロ</t>
    </rPh>
    <phoneticPr fontId="3"/>
  </si>
  <si>
    <t>直接手入力してください。</t>
    <rPh sb="0" eb="2">
      <t>チョクセツ</t>
    </rPh>
    <rPh sb="2" eb="3">
      <t>テ</t>
    </rPh>
    <rPh sb="3" eb="5">
      <t>ニュウリョク</t>
    </rPh>
    <phoneticPr fontId="3"/>
  </si>
  <si>
    <t>橙色</t>
    <rPh sb="0" eb="2">
      <t>ダイダイイロ</t>
    </rPh>
    <phoneticPr fontId="1"/>
  </si>
  <si>
    <t>ドロップダウンで選択。</t>
    <rPh sb="8" eb="10">
      <t>センタク</t>
    </rPh>
    <phoneticPr fontId="1"/>
  </si>
  <si>
    <t>水色</t>
    <rPh sb="0" eb="2">
      <t>ミズイロ</t>
    </rPh>
    <phoneticPr fontId="3"/>
  </si>
  <si>
    <t>札幌市で入力済の内容です。変更がある場合は、申し出ください。</t>
    <rPh sb="0" eb="3">
      <t>サッポロシ</t>
    </rPh>
    <rPh sb="4" eb="6">
      <t>ニュウリョク</t>
    </rPh>
    <rPh sb="6" eb="7">
      <t>スミ</t>
    </rPh>
    <rPh sb="8" eb="10">
      <t>ナイヨウ</t>
    </rPh>
    <rPh sb="13" eb="15">
      <t>ヘンコウ</t>
    </rPh>
    <rPh sb="18" eb="20">
      <t>バアイ</t>
    </rPh>
    <rPh sb="22" eb="23">
      <t>モウ</t>
    </rPh>
    <rPh sb="24" eb="25">
      <t>デ</t>
    </rPh>
    <phoneticPr fontId="3"/>
  </si>
  <si>
    <t>白色</t>
    <rPh sb="0" eb="1">
      <t>シロ</t>
    </rPh>
    <rPh sb="1" eb="2">
      <t>イロ</t>
    </rPh>
    <phoneticPr fontId="3"/>
  </si>
  <si>
    <t>入力不可</t>
    <rPh sb="0" eb="4">
      <t>ニュウリョクフカ</t>
    </rPh>
    <phoneticPr fontId="1"/>
  </si>
  <si>
    <t>【提出方法】</t>
    <rPh sb="1" eb="5">
      <t>テイシュツホウホウ</t>
    </rPh>
    <phoneticPr fontId="3"/>
  </si>
  <si>
    <t>＜Excelデータ 提出先＞</t>
    <rPh sb="10" eb="12">
      <t>テイシュツ</t>
    </rPh>
    <rPh sb="12" eb="13">
      <t>サキ</t>
    </rPh>
    <phoneticPr fontId="83"/>
  </si>
  <si>
    <t>アドレス</t>
    <phoneticPr fontId="3"/>
  </si>
  <si>
    <t>kyufuhi@city.sapporo.jp</t>
    <phoneticPr fontId="83"/>
  </si>
  <si>
    <t>メール件名</t>
    <rPh sb="3" eb="5">
      <t>ケンメイ</t>
    </rPh>
    <phoneticPr fontId="3"/>
  </si>
  <si>
    <r>
      <t>←</t>
    </r>
    <r>
      <rPr>
        <sz val="12"/>
        <color rgb="FFFF0000"/>
        <rFont val="ＭＳ ゴシック"/>
        <family val="3"/>
        <charset val="128"/>
      </rPr>
      <t>（【様式１】で園名を選ぶと反映）</t>
    </r>
    <phoneticPr fontId="83"/>
  </si>
  <si>
    <t>パスワード</t>
    <phoneticPr fontId="3"/>
  </si>
  <si>
    <t>29hoiku86</t>
    <phoneticPr fontId="83"/>
  </si>
  <si>
    <r>
      <rPr>
        <b/>
        <sz val="12"/>
        <color rgb="FFFF0000"/>
        <rFont val="ＭＳ ゴシック"/>
        <family val="3"/>
        <charset val="128"/>
      </rPr>
      <t xml:space="preserve">← </t>
    </r>
    <r>
      <rPr>
        <b/>
        <sz val="12"/>
        <rFont val="ＭＳ ゴシック"/>
        <family val="3"/>
        <charset val="128"/>
      </rPr>
      <t>Excelデータをこちらのパスワードで</t>
    </r>
    <phoneticPr fontId="83"/>
  </si>
  <si>
    <t>　 zipファイル化して、メールに添付してください。</t>
    <phoneticPr fontId="83"/>
  </si>
  <si>
    <t>＜添付書類 郵送先＞</t>
    <rPh sb="1" eb="5">
      <t>テンプショルイ</t>
    </rPh>
    <rPh sb="6" eb="9">
      <t>ユウソウサキ</t>
    </rPh>
    <phoneticPr fontId="83"/>
  </si>
  <si>
    <t>〒060-0051</t>
    <phoneticPr fontId="83"/>
  </si>
  <si>
    <r>
      <rPr>
        <b/>
        <sz val="12"/>
        <color rgb="FFFF0000"/>
        <rFont val="ＭＳ ゴシック"/>
        <family val="3"/>
        <charset val="128"/>
      </rPr>
      <t>←</t>
    </r>
    <r>
      <rPr>
        <b/>
        <sz val="12"/>
        <rFont val="ＭＳ ゴシック"/>
        <family val="3"/>
        <charset val="128"/>
      </rPr>
      <t>「【別添】添付書類の表紙」を付けて郵送してください。</t>
    </r>
    <rPh sb="3" eb="5">
      <t>ベッテン</t>
    </rPh>
    <rPh sb="6" eb="10">
      <t>テンプショルイ</t>
    </rPh>
    <rPh sb="11" eb="13">
      <t>ヒョウシ</t>
    </rPh>
    <rPh sb="15" eb="16">
      <t>ツ</t>
    </rPh>
    <rPh sb="18" eb="20">
      <t>ユウソウ</t>
    </rPh>
    <phoneticPr fontId="83"/>
  </si>
  <si>
    <t>札幌市中央区南１条東１丁目　大通バスセンタービル３階</t>
    <phoneticPr fontId="83"/>
  </si>
  <si>
    <t>　（右隣のシート）</t>
    <rPh sb="2" eb="4">
      <t>ミギドナリ</t>
    </rPh>
    <phoneticPr fontId="1"/>
  </si>
  <si>
    <t>子ども未来局子育て支援部施設運営課給付係　　TEL 011-211-3027</t>
    <rPh sb="6" eb="8">
      <t>コソダ</t>
    </rPh>
    <rPh sb="9" eb="11">
      <t>シエン</t>
    </rPh>
    <rPh sb="12" eb="14">
      <t>シセツ</t>
    </rPh>
    <rPh sb="14" eb="16">
      <t>ウンエイ</t>
    </rPh>
    <rPh sb="16" eb="17">
      <t>カ</t>
    </rPh>
    <phoneticPr fontId="83"/>
  </si>
  <si>
    <t>【お問い合わせについて】</t>
    <rPh sb="2" eb="3">
      <t>ト</t>
    </rPh>
    <rPh sb="4" eb="5">
      <t>ア</t>
    </rPh>
    <phoneticPr fontId="3"/>
  </si>
  <si>
    <t>メールでのお問い合わせにご協力ください。（様式の入力がうまくいかない等、データをこちらで確認する必要がある場合はデータも添付してください。）</t>
    <rPh sb="6" eb="7">
      <t>ト</t>
    </rPh>
    <rPh sb="8" eb="9">
      <t>ア</t>
    </rPh>
    <rPh sb="13" eb="15">
      <t>キョウリョク</t>
    </rPh>
    <rPh sb="21" eb="23">
      <t>ヨウシキ</t>
    </rPh>
    <rPh sb="24" eb="26">
      <t>ニュウリョク</t>
    </rPh>
    <rPh sb="34" eb="35">
      <t>トウ</t>
    </rPh>
    <rPh sb="44" eb="46">
      <t>カクニン</t>
    </rPh>
    <rPh sb="48" eb="50">
      <t>ヒツヨウ</t>
    </rPh>
    <rPh sb="53" eb="55">
      <t>バアイ</t>
    </rPh>
    <rPh sb="60" eb="62">
      <t>テンプ</t>
    </rPh>
    <phoneticPr fontId="83"/>
  </si>
  <si>
    <t>アドレス</t>
  </si>
  <si>
    <t>【作成にあたって】</t>
    <rPh sb="1" eb="3">
      <t>サクセイ</t>
    </rPh>
    <phoneticPr fontId="3"/>
  </si>
  <si>
    <t>項目</t>
    <rPh sb="0" eb="2">
      <t>コウモク</t>
    </rPh>
    <phoneticPr fontId="3"/>
  </si>
  <si>
    <t>説明</t>
    <rPh sb="0" eb="2">
      <t>セツメイ</t>
    </rPh>
    <phoneticPr fontId="83"/>
  </si>
  <si>
    <t>作成ソフト</t>
    <rPh sb="0" eb="2">
      <t>サクセイ</t>
    </rPh>
    <phoneticPr fontId="3"/>
  </si>
  <si>
    <t>作成手順</t>
    <rPh sb="0" eb="4">
      <t>サクセイテジュン</t>
    </rPh>
    <phoneticPr fontId="3"/>
  </si>
  <si>
    <t>参考資料</t>
    <rPh sb="0" eb="4">
      <t>サンコウシリョウ</t>
    </rPh>
    <phoneticPr fontId="1"/>
  </si>
  <si>
    <t xml:space="preserve"> ・　依頼文　（各月分の申請期限はこちらでご確認ください。）</t>
    <rPh sb="3" eb="6">
      <t>イライブン</t>
    </rPh>
    <rPh sb="8" eb="11">
      <t>カクツキブン</t>
    </rPh>
    <rPh sb="12" eb="14">
      <t>シンセイ</t>
    </rPh>
    <rPh sb="14" eb="16">
      <t>キゲン</t>
    </rPh>
    <rPh sb="22" eb="24">
      <t>カクニン</t>
    </rPh>
    <phoneticPr fontId="1"/>
  </si>
  <si>
    <t xml:space="preserve"> ・　様式内の「作成方法」シート、各シート印刷範囲外の説明書き</t>
  </si>
  <si>
    <t xml:space="preserve"> ・　加算・調整項目申請書作成要領　（依頼時に送付）</t>
    <rPh sb="19" eb="22">
      <t>イライジ</t>
    </rPh>
    <rPh sb="23" eb="25">
      <t>ソウフ</t>
    </rPh>
    <phoneticPr fontId="1"/>
  </si>
  <si>
    <t>左記と0.5のうち大きい方</t>
    <rPh sb="0" eb="2">
      <t>サキ</t>
    </rPh>
    <phoneticPr fontId="1"/>
  </si>
  <si>
    <t>提出日</t>
    <rPh sb="0" eb="2">
      <t>テイシュツ</t>
    </rPh>
    <rPh sb="2" eb="3">
      <t>ビ</t>
    </rPh>
    <phoneticPr fontId="1"/>
  </si>
  <si>
    <t>＜様式１＞
定員超過（１号、２・３号）で、減算要件を満たす場合でも、減算適用されないエラーを修正。
＜様式５＞
職員算出表の職種別調整箇所の非表示。</t>
    <phoneticPr fontId="1"/>
  </si>
  <si>
    <t>１日</t>
    <rPh sb="1" eb="2">
      <t>ニチ</t>
    </rPh>
    <phoneticPr fontId="26"/>
  </si>
  <si>
    <t>２日</t>
    <rPh sb="1" eb="2">
      <t>ニチ</t>
    </rPh>
    <phoneticPr fontId="26"/>
  </si>
  <si>
    <t>３日以上</t>
    <rPh sb="1" eb="2">
      <t>ニチ</t>
    </rPh>
    <rPh sb="2" eb="4">
      <t>イジョウ</t>
    </rPh>
    <phoneticPr fontId="26"/>
  </si>
  <si>
    <t>全て</t>
    <rPh sb="0" eb="1">
      <t>スベ</t>
    </rPh>
    <phoneticPr fontId="26"/>
  </si>
  <si>
    <t>分園の定員</t>
    <rPh sb="0" eb="2">
      <t>ブンエン</t>
    </rPh>
    <rPh sb="3" eb="5">
      <t>テイイン</t>
    </rPh>
    <phoneticPr fontId="1"/>
  </si>
  <si>
    <t>認定こども園桑園幼稚園</t>
    <rPh sb="0" eb="2">
      <t>ニンテイ</t>
    </rPh>
    <rPh sb="5" eb="6">
      <t>エン</t>
    </rPh>
    <rPh sb="6" eb="8">
      <t>ソウエン</t>
    </rPh>
    <rPh sb="8" eb="11">
      <t>ヨウチエン</t>
    </rPh>
    <phoneticPr fontId="1"/>
  </si>
  <si>
    <t>認定こども園さゆり幼稚園</t>
    <rPh sb="0" eb="2">
      <t>ニンテイ</t>
    </rPh>
    <rPh sb="5" eb="6">
      <t>エン</t>
    </rPh>
    <phoneticPr fontId="1"/>
  </si>
  <si>
    <t>旭ヶ丘保育園</t>
  </si>
  <si>
    <t>たかさごスクール大通公園</t>
  </si>
  <si>
    <t>認定こども園北一条すずらん保育園</t>
    <rPh sb="0" eb="2">
      <t>ニンテイ</t>
    </rPh>
    <rPh sb="5" eb="6">
      <t>エン</t>
    </rPh>
    <rPh sb="6" eb="7">
      <t>キタ</t>
    </rPh>
    <rPh sb="7" eb="9">
      <t>イチジョウ</t>
    </rPh>
    <rPh sb="13" eb="16">
      <t>ホイクエン</t>
    </rPh>
    <phoneticPr fontId="1"/>
  </si>
  <si>
    <t>認定こども園こころ篠路保育園</t>
    <rPh sb="0" eb="2">
      <t>ニンテイ</t>
    </rPh>
    <rPh sb="5" eb="6">
      <t>エン</t>
    </rPh>
    <rPh sb="9" eb="11">
      <t>シノロ</t>
    </rPh>
    <rPh sb="11" eb="14">
      <t>ホイクエン</t>
    </rPh>
    <phoneticPr fontId="1"/>
  </si>
  <si>
    <t>麻生保育園</t>
  </si>
  <si>
    <t>認定こども園篠路中央保育園</t>
    <rPh sb="0" eb="2">
      <t>ニンテイ</t>
    </rPh>
    <rPh sb="5" eb="6">
      <t>エン</t>
    </rPh>
    <phoneticPr fontId="1"/>
  </si>
  <si>
    <t>太平保育園</t>
  </si>
  <si>
    <t>新川北保育園</t>
  </si>
  <si>
    <t>あいの里保育園</t>
  </si>
  <si>
    <t>風の子保育園</t>
  </si>
  <si>
    <t>きずな麻生保育園</t>
    <rPh sb="3" eb="5">
      <t>アサブ</t>
    </rPh>
    <rPh sb="5" eb="8">
      <t>ホイクエン</t>
    </rPh>
    <phoneticPr fontId="1"/>
  </si>
  <si>
    <t>こすもす認定こども園</t>
    <rPh sb="4" eb="6">
      <t>ニンテイ</t>
    </rPh>
    <rPh sb="9" eb="10">
      <t>エン</t>
    </rPh>
    <phoneticPr fontId="1"/>
  </si>
  <si>
    <t>白楊みどり保育園</t>
    <rPh sb="0" eb="2">
      <t>ハクヨウ</t>
    </rPh>
    <rPh sb="5" eb="8">
      <t>ホイクエン</t>
    </rPh>
    <phoneticPr fontId="4"/>
  </si>
  <si>
    <t>もみの木にいな認定こども園</t>
    <rPh sb="3" eb="4">
      <t>キ</t>
    </rPh>
    <rPh sb="7" eb="9">
      <t>ニンテイ</t>
    </rPh>
    <rPh sb="12" eb="13">
      <t>エン</t>
    </rPh>
    <phoneticPr fontId="1"/>
  </si>
  <si>
    <t>北栄保育園</t>
  </si>
  <si>
    <t>保育所型認定こども園丘珠ひばり保育園</t>
    <rPh sb="0" eb="6">
      <t>ホイクショガタニンテイ</t>
    </rPh>
    <rPh sb="9" eb="10">
      <t>エン</t>
    </rPh>
    <phoneticPr fontId="1"/>
  </si>
  <si>
    <t>北栄みどり保育園</t>
  </si>
  <si>
    <t>元町みどり保育園</t>
  </si>
  <si>
    <t>認定こども園栄保育園</t>
    <rPh sb="0" eb="2">
      <t>ニンテイ</t>
    </rPh>
    <rPh sb="5" eb="6">
      <t>エン</t>
    </rPh>
    <phoneticPr fontId="1"/>
  </si>
  <si>
    <t>札幌フラワー保育園</t>
  </si>
  <si>
    <t>開成みどり保育園</t>
  </si>
  <si>
    <t>認定こども園おひさまさっぽろ東保育園</t>
    <rPh sb="0" eb="2">
      <t>ニンテイ</t>
    </rPh>
    <rPh sb="5" eb="6">
      <t>エン</t>
    </rPh>
    <rPh sb="14" eb="15">
      <t>ヒガシ</t>
    </rPh>
    <rPh sb="15" eb="18">
      <t>ホイクエン</t>
    </rPh>
    <phoneticPr fontId="1"/>
  </si>
  <si>
    <t>幼保連携型認定こども園南郷札幌幼稚園</t>
    <rPh sb="0" eb="7">
      <t>ヨウホレンケイガタニンテイ</t>
    </rPh>
    <rPh sb="10" eb="11">
      <t>エン</t>
    </rPh>
    <rPh sb="11" eb="13">
      <t>ナンゴウ</t>
    </rPh>
    <rPh sb="13" eb="18">
      <t>サッポロヨウチエン</t>
    </rPh>
    <phoneticPr fontId="3"/>
  </si>
  <si>
    <t>柏葉保育園</t>
  </si>
  <si>
    <t>北の星東札幌保育園</t>
  </si>
  <si>
    <t>北白石こども園</t>
    <rPh sb="6" eb="7">
      <t>エン</t>
    </rPh>
    <phoneticPr fontId="0"/>
  </si>
  <si>
    <t>こども園まこと</t>
    <rPh sb="3" eb="4">
      <t>エン</t>
    </rPh>
    <phoneticPr fontId="1"/>
  </si>
  <si>
    <t>北の星白石保育園</t>
  </si>
  <si>
    <t>保育所型認定こども園救世軍菊水上町保育園</t>
    <rPh sb="0" eb="4">
      <t>ホイクショガタ</t>
    </rPh>
    <rPh sb="4" eb="6">
      <t>ニンテイ</t>
    </rPh>
    <rPh sb="9" eb="10">
      <t>エン</t>
    </rPh>
    <phoneticPr fontId="1"/>
  </si>
  <si>
    <t>認定こども園白石うさこ保育園</t>
    <rPh sb="0" eb="2">
      <t>ニンテイ</t>
    </rPh>
    <rPh sb="5" eb="6">
      <t>エン</t>
    </rPh>
    <phoneticPr fontId="1"/>
  </si>
  <si>
    <t>認定こども園北光幼稚園</t>
    <rPh sb="0" eb="2">
      <t>ニンテイ</t>
    </rPh>
    <rPh sb="5" eb="6">
      <t>エン</t>
    </rPh>
    <phoneticPr fontId="1"/>
  </si>
  <si>
    <t>認定こども園虹の森カトリック幼稚園</t>
    <rPh sb="0" eb="2">
      <t>ニンテイ</t>
    </rPh>
    <rPh sb="5" eb="6">
      <t>エン</t>
    </rPh>
    <phoneticPr fontId="1"/>
  </si>
  <si>
    <t>厚別もえぎこども園</t>
    <rPh sb="8" eb="9">
      <t>エン</t>
    </rPh>
    <phoneticPr fontId="0"/>
  </si>
  <si>
    <t>認定こども園羊丘藤保育園</t>
    <rPh sb="0" eb="2">
      <t>ニンテイ</t>
    </rPh>
    <rPh sb="5" eb="6">
      <t>エン</t>
    </rPh>
    <phoneticPr fontId="1"/>
  </si>
  <si>
    <t>西岡高台こども園</t>
  </si>
  <si>
    <t>福住保育園</t>
  </si>
  <si>
    <t>平岸興正こども園</t>
  </si>
  <si>
    <t>認定こども園月寒西わんぱく保育園</t>
    <rPh sb="0" eb="2">
      <t>ニンテイ</t>
    </rPh>
    <rPh sb="5" eb="6">
      <t>エン</t>
    </rPh>
    <phoneticPr fontId="1"/>
  </si>
  <si>
    <t>認定こども園清田保育園</t>
    <rPh sb="0" eb="2">
      <t>ニンテイ</t>
    </rPh>
    <rPh sb="5" eb="6">
      <t>エン</t>
    </rPh>
    <phoneticPr fontId="0"/>
  </si>
  <si>
    <t>認定こども園札幌杉の子保育園</t>
    <rPh sb="0" eb="2">
      <t>ニンテイ</t>
    </rPh>
    <rPh sb="5" eb="6">
      <t>エン</t>
    </rPh>
    <phoneticPr fontId="1"/>
  </si>
  <si>
    <t>認定こども園宮の沢すずらん</t>
    <rPh sb="0" eb="2">
      <t>ニンテイ</t>
    </rPh>
    <rPh sb="5" eb="6">
      <t>エン</t>
    </rPh>
    <phoneticPr fontId="0"/>
  </si>
  <si>
    <t>認定こども園にしの</t>
    <rPh sb="0" eb="2">
      <t>ニンテイ</t>
    </rPh>
    <rPh sb="5" eb="6">
      <t>エン</t>
    </rPh>
    <phoneticPr fontId="1"/>
  </si>
  <si>
    <t>琴似あやめ保育園</t>
  </si>
  <si>
    <t>手稲東保育園</t>
  </si>
  <si>
    <t>発寒保育園</t>
  </si>
  <si>
    <t>二十四軒保育園</t>
  </si>
  <si>
    <t>宮の沢桃の花こども園</t>
  </si>
  <si>
    <t>たかさごスクール宮の沢</t>
    <rPh sb="8" eb="9">
      <t>ミヤ</t>
    </rPh>
    <rPh sb="10" eb="11">
      <t>サワ</t>
    </rPh>
    <phoneticPr fontId="1"/>
  </si>
  <si>
    <t>認定こども園まえだ幼稚園</t>
    <rPh sb="0" eb="2">
      <t>ニンテイ</t>
    </rPh>
    <rPh sb="5" eb="6">
      <t>エン</t>
    </rPh>
    <rPh sb="9" eb="12">
      <t>ヨウチエン</t>
    </rPh>
    <phoneticPr fontId="1"/>
  </si>
  <si>
    <t>しんはっさむライラックこども園</t>
    <rPh sb="14" eb="15">
      <t>エン</t>
    </rPh>
    <phoneticPr fontId="1"/>
  </si>
  <si>
    <t>手稲曙保育園</t>
  </si>
  <si>
    <t>➂  教員等の発令書の写し</t>
    <rPh sb="3" eb="5">
      <t>キョウイン</t>
    </rPh>
    <rPh sb="5" eb="6">
      <t>トウ</t>
    </rPh>
    <rPh sb="7" eb="9">
      <t>ハツレイ</t>
    </rPh>
    <rPh sb="9" eb="10">
      <t>ショ</t>
    </rPh>
    <rPh sb="11" eb="12">
      <t>ウツ</t>
    </rPh>
    <phoneticPr fontId="1"/>
  </si>
  <si>
    <t>４ 教員等の発令を受けている。</t>
    <rPh sb="2" eb="4">
      <t>キョウイン</t>
    </rPh>
    <rPh sb="4" eb="5">
      <t>トウ</t>
    </rPh>
    <rPh sb="6" eb="8">
      <t>ハツレイ</t>
    </rPh>
    <rPh sb="9" eb="10">
      <t>ウ</t>
    </rPh>
    <phoneticPr fontId="1"/>
  </si>
  <si>
    <t>教員等の発令を受けている</t>
    <rPh sb="0" eb="2">
      <t>キョウイン</t>
    </rPh>
    <rPh sb="2" eb="3">
      <t>トウ</t>
    </rPh>
    <rPh sb="4" eb="6">
      <t>ハツレイ</t>
    </rPh>
    <rPh sb="7" eb="8">
      <t>ウ</t>
    </rPh>
    <phoneticPr fontId="1"/>
  </si>
  <si>
    <t>経験年数</t>
    <rPh sb="0" eb="2">
      <t>ケイケン</t>
    </rPh>
    <rPh sb="2" eb="4">
      <t>ネンスウ</t>
    </rPh>
    <phoneticPr fontId="1"/>
  </si>
  <si>
    <t>経験が３年以上</t>
    <rPh sb="0" eb="2">
      <t>ケイケン</t>
    </rPh>
    <rPh sb="4" eb="5">
      <t>ネン</t>
    </rPh>
    <rPh sb="5" eb="7">
      <t>イジョウ</t>
    </rPh>
    <phoneticPr fontId="1"/>
  </si>
  <si>
    <t>該当の研修を修了</t>
    <rPh sb="0" eb="2">
      <t>ガイトウ</t>
    </rPh>
    <rPh sb="3" eb="5">
      <t>ケンシュウ</t>
    </rPh>
    <rPh sb="6" eb="8">
      <t>シュウリョウ</t>
    </rPh>
    <phoneticPr fontId="1"/>
  </si>
  <si>
    <t>該当の研修を未修</t>
    <rPh sb="0" eb="2">
      <t>ガイトウ</t>
    </rPh>
    <rPh sb="3" eb="5">
      <t>ケンシュウ</t>
    </rPh>
    <rPh sb="6" eb="8">
      <t>ミシュウ</t>
    </rPh>
    <phoneticPr fontId="1"/>
  </si>
  <si>
    <t>適否</t>
    <rPh sb="0" eb="2">
      <t>テキヒ</t>
    </rPh>
    <phoneticPr fontId="1"/>
  </si>
  <si>
    <t>添付書類</t>
    <rPh sb="0" eb="4">
      <t>テンプショルイ</t>
    </rPh>
    <phoneticPr fontId="1"/>
  </si>
  <si>
    <t>参入区分</t>
    <rPh sb="0" eb="4">
      <t>サンニュウクブン</t>
    </rPh>
    <phoneticPr fontId="1"/>
  </si>
  <si>
    <t>要件①　月初日の０歳児が４人以上</t>
    <rPh sb="0" eb="2">
      <t>ヨウケン</t>
    </rPh>
    <rPh sb="4" eb="7">
      <t>ツキショニチ</t>
    </rPh>
    <rPh sb="9" eb="11">
      <t>サイジ</t>
    </rPh>
    <rPh sb="13" eb="14">
      <t>ニン</t>
    </rPh>
    <rPh sb="14" eb="16">
      <t>イジョウ</t>
    </rPh>
    <phoneticPr fontId="1"/>
  </si>
  <si>
    <t>施設コード</t>
    <rPh sb="0" eb="2">
      <t>シセツ</t>
    </rPh>
    <phoneticPr fontId="1"/>
  </si>
  <si>
    <t>施設名</t>
    <rPh sb="0" eb="3">
      <t>シセツメイ</t>
    </rPh>
    <phoneticPr fontId="1"/>
  </si>
  <si>
    <t>kyufuhi@city.sapporo.jp</t>
  </si>
  <si>
    <r>
      <rPr>
        <b/>
        <sz val="12"/>
        <color rgb="FFFF0000"/>
        <rFont val="ＭＳ ゴシック"/>
        <family val="3"/>
        <charset val="128"/>
      </rPr>
      <t>←</t>
    </r>
    <r>
      <rPr>
        <b/>
        <sz val="12"/>
        <rFont val="ＭＳ ゴシック"/>
        <family val="3"/>
        <charset val="128"/>
      </rPr>
      <t>メールの件名はこちらをコピーして使用してください。</t>
    </r>
    <rPh sb="5" eb="7">
      <t>ケンメイ</t>
    </rPh>
    <rPh sb="17" eb="19">
      <t>シヨウ</t>
    </rPh>
    <phoneticPr fontId="83"/>
  </si>
  <si>
    <t>　　　　　　　　　　※問い合わせの際は、作成途中の申請書（エクセル）を一緒に添付してください。</t>
    <rPh sb="11" eb="12">
      <t>ト</t>
    </rPh>
    <rPh sb="13" eb="14">
      <t>ア</t>
    </rPh>
    <rPh sb="17" eb="18">
      <t>サイ</t>
    </rPh>
    <rPh sb="20" eb="24">
      <t>サクセイトチュウ</t>
    </rPh>
    <rPh sb="25" eb="28">
      <t>シンセイショ</t>
    </rPh>
    <phoneticPr fontId="1"/>
  </si>
  <si>
    <t>【提出先】</t>
    <rPh sb="1" eb="3">
      <t>テイシュツ</t>
    </rPh>
    <rPh sb="3" eb="4">
      <t>サキ</t>
    </rPh>
    <phoneticPr fontId="3"/>
  </si>
  <si>
    <t>＜Excelデータ＞</t>
    <rPh sb="9" eb="10">
      <t>デサキ</t>
    </rPh>
    <phoneticPr fontId="83"/>
  </si>
  <si>
    <t>エクセル名</t>
    <rPh sb="4" eb="5">
      <t>メイ</t>
    </rPh>
    <phoneticPr fontId="1"/>
  </si>
  <si>
    <t>29hoiku86</t>
    <phoneticPr fontId="1"/>
  </si>
  <si>
    <r>
      <rPr>
        <b/>
        <sz val="12"/>
        <color rgb="FFFF0000"/>
        <rFont val="ＭＳ ゴシック"/>
        <family val="3"/>
        <charset val="128"/>
      </rPr>
      <t>←</t>
    </r>
    <r>
      <rPr>
        <b/>
        <sz val="12"/>
        <rFont val="ＭＳ ゴシック"/>
        <family val="3"/>
        <charset val="128"/>
      </rPr>
      <t>Excelデータをこちらのパスワードでお願いします。</t>
    </r>
    <rPh sb="21" eb="22">
      <t>ネガ</t>
    </rPh>
    <phoneticPr fontId="83"/>
  </si>
  <si>
    <t>＜PDFデータ（加算の添付書類）＞</t>
    <rPh sb="8" eb="10">
      <t>カサン</t>
    </rPh>
    <rPh sb="11" eb="15">
      <t>テンプショルイ</t>
    </rPh>
    <rPh sb="16" eb="17">
      <t>デサキ</t>
    </rPh>
    <phoneticPr fontId="83"/>
  </si>
  <si>
    <t>※ＰＤＦで提出いただく添付書類の名前は、以下のリストからコピーして使用してください。</t>
    <rPh sb="5" eb="7">
      <t>テイシュツ</t>
    </rPh>
    <rPh sb="11" eb="15">
      <t>テンプショルイ</t>
    </rPh>
    <rPh sb="16" eb="18">
      <t>ナマエ</t>
    </rPh>
    <rPh sb="20" eb="22">
      <t>イカ</t>
    </rPh>
    <rPh sb="33" eb="35">
      <t>シヨウ</t>
    </rPh>
    <phoneticPr fontId="3"/>
  </si>
  <si>
    <t>添付書類が必要な加算</t>
    <rPh sb="0" eb="2">
      <t>テンプ</t>
    </rPh>
    <rPh sb="2" eb="4">
      <t>ショルイ</t>
    </rPh>
    <rPh sb="5" eb="7">
      <t>ヒツヨウ</t>
    </rPh>
    <rPh sb="8" eb="10">
      <t>カサン</t>
    </rPh>
    <phoneticPr fontId="1"/>
  </si>
  <si>
    <t>挙証書類の名前</t>
    <rPh sb="0" eb="4">
      <t>キョショウショルイ</t>
    </rPh>
    <rPh sb="5" eb="7">
      <t>ナマエ</t>
    </rPh>
    <phoneticPr fontId="1"/>
  </si>
  <si>
    <t>添付書類①</t>
    <rPh sb="0" eb="2">
      <t>テンプ</t>
    </rPh>
    <rPh sb="2" eb="4">
      <t>ショルイ</t>
    </rPh>
    <phoneticPr fontId="1"/>
  </si>
  <si>
    <t>添付書類が必要な加算</t>
    <rPh sb="0" eb="4">
      <t>テンプショルイ</t>
    </rPh>
    <rPh sb="5" eb="7">
      <t>ヒツヨウ</t>
    </rPh>
    <rPh sb="8" eb="10">
      <t>カサン</t>
    </rPh>
    <phoneticPr fontId="1"/>
  </si>
  <si>
    <t>適用可否</t>
    <rPh sb="0" eb="4">
      <t>テキヨウカヒ</t>
    </rPh>
    <phoneticPr fontId="1"/>
  </si>
  <si>
    <t>変換</t>
    <rPh sb="0" eb="2">
      <t>ヘンカン</t>
    </rPh>
    <phoneticPr fontId="1"/>
  </si>
  <si>
    <t>添付書類②</t>
    <rPh sb="0" eb="2">
      <t>テンプ</t>
    </rPh>
    <rPh sb="2" eb="4">
      <t>ショルイ</t>
    </rPh>
    <phoneticPr fontId="1"/>
  </si>
  <si>
    <t>添付書類③</t>
    <rPh sb="0" eb="2">
      <t>テンプ</t>
    </rPh>
    <rPh sb="2" eb="4">
      <t>ショルイ</t>
    </rPh>
    <phoneticPr fontId="1"/>
  </si>
  <si>
    <t>添付書類④</t>
    <rPh sb="0" eb="2">
      <t>テンプ</t>
    </rPh>
    <rPh sb="2" eb="4">
      <t>ショルイ</t>
    </rPh>
    <phoneticPr fontId="1"/>
  </si>
  <si>
    <t>添付書類⑤</t>
    <rPh sb="0" eb="2">
      <t>テンプ</t>
    </rPh>
    <rPh sb="2" eb="4">
      <t>ショルイ</t>
    </rPh>
    <phoneticPr fontId="1"/>
  </si>
  <si>
    <t>添付書類⑥</t>
    <rPh sb="0" eb="2">
      <t>テンプ</t>
    </rPh>
    <rPh sb="2" eb="4">
      <t>ショルイ</t>
    </rPh>
    <phoneticPr fontId="1"/>
  </si>
  <si>
    <t>添付書類⑦</t>
    <rPh sb="0" eb="2">
      <t>テンプ</t>
    </rPh>
    <rPh sb="2" eb="4">
      <t>ショルイ</t>
    </rPh>
    <phoneticPr fontId="1"/>
  </si>
  <si>
    <t>添付書類⑧</t>
    <rPh sb="0" eb="2">
      <t>テンプ</t>
    </rPh>
    <rPh sb="2" eb="4">
      <t>ショルイ</t>
    </rPh>
    <phoneticPr fontId="1"/>
  </si>
  <si>
    <t>添付書類⑨</t>
    <rPh sb="0" eb="2">
      <t>テンプ</t>
    </rPh>
    <rPh sb="2" eb="4">
      <t>ショルイ</t>
    </rPh>
    <phoneticPr fontId="1"/>
  </si>
  <si>
    <t>賃借料加算</t>
  </si>
  <si>
    <t>療育支援加算</t>
  </si>
  <si>
    <t>事務職員配置加算</t>
  </si>
  <si>
    <t>指導充実加配加算</t>
  </si>
  <si>
    <t>事務負担対応加配加算</t>
  </si>
  <si>
    <t>栄養管理加算</t>
  </si>
  <si>
    <t>添付書類⑩</t>
    <rPh sb="0" eb="2">
      <t>テンプ</t>
    </rPh>
    <rPh sb="2" eb="4">
      <t>ショルイ</t>
    </rPh>
    <phoneticPr fontId="1"/>
  </si>
  <si>
    <t>添付書類⑪</t>
    <rPh sb="0" eb="2">
      <t>テンプ</t>
    </rPh>
    <rPh sb="2" eb="4">
      <t>ショルイ</t>
    </rPh>
    <phoneticPr fontId="1"/>
  </si>
  <si>
    <t>添付書類⑫</t>
    <rPh sb="0" eb="2">
      <t>テンプ</t>
    </rPh>
    <rPh sb="2" eb="4">
      <t>ショルイ</t>
    </rPh>
    <phoneticPr fontId="1"/>
  </si>
  <si>
    <t>添付書類⑬</t>
    <rPh sb="0" eb="2">
      <t>テンプ</t>
    </rPh>
    <rPh sb="2" eb="4">
      <t>ショルイ</t>
    </rPh>
    <phoneticPr fontId="1"/>
  </si>
  <si>
    <t>要件③　保育士と合同の組・グループを編成し、同一の乳児室など同一空間内で保育を行うこと。</t>
    <rPh sb="0" eb="2">
      <t>ヨウケン</t>
    </rPh>
    <rPh sb="4" eb="7">
      <t>ホイクシ</t>
    </rPh>
    <rPh sb="8" eb="10">
      <t>ゴウドウ</t>
    </rPh>
    <rPh sb="11" eb="12">
      <t>クミ</t>
    </rPh>
    <rPh sb="18" eb="20">
      <t>ヘンセイ</t>
    </rPh>
    <rPh sb="22" eb="24">
      <t>ドウイツ</t>
    </rPh>
    <rPh sb="25" eb="27">
      <t>ニュウジ</t>
    </rPh>
    <rPh sb="27" eb="28">
      <t>シツ</t>
    </rPh>
    <rPh sb="30" eb="32">
      <t>ドウイツ</t>
    </rPh>
    <rPh sb="32" eb="34">
      <t>クウカン</t>
    </rPh>
    <rPh sb="34" eb="35">
      <t>ナイ</t>
    </rPh>
    <rPh sb="36" eb="38">
      <t>ホイク</t>
    </rPh>
    <rPh sb="39" eb="40">
      <t>オコナ</t>
    </rPh>
    <phoneticPr fontId="1"/>
  </si>
  <si>
    <t>要件④　認可保育所等での勤務経験が３年未満の場合は、地域型保育コース等の研修を修了</t>
    <rPh sb="0" eb="2">
      <t>ヨウケン</t>
    </rPh>
    <rPh sb="19" eb="21">
      <t>ミマン</t>
    </rPh>
    <rPh sb="22" eb="24">
      <t>バアイ</t>
    </rPh>
    <phoneticPr fontId="1"/>
  </si>
  <si>
    <t>保育要件</t>
    <rPh sb="0" eb="2">
      <t>ホイク</t>
    </rPh>
    <rPh sb="2" eb="4">
      <t>ヨウケン</t>
    </rPh>
    <phoneticPr fontId="1"/>
  </si>
  <si>
    <t>保認</t>
    <rPh sb="0" eb="1">
      <t>ホ</t>
    </rPh>
    <rPh sb="1" eb="2">
      <t>ニン</t>
    </rPh>
    <phoneticPr fontId="1"/>
  </si>
  <si>
    <t>2号・3号の保育のみに従事している（1号の教育には従事していない）</t>
    <rPh sb="1" eb="2">
      <t>ゴウ</t>
    </rPh>
    <rPh sb="4" eb="5">
      <t>ゴウ</t>
    </rPh>
    <rPh sb="6" eb="8">
      <t>ホイク</t>
    </rPh>
    <rPh sb="11" eb="13">
      <t>ジュウジ</t>
    </rPh>
    <rPh sb="19" eb="20">
      <t>ゴウ</t>
    </rPh>
    <rPh sb="21" eb="23">
      <t>キョウイク</t>
    </rPh>
    <rPh sb="25" eb="27">
      <t>ジュウジ</t>
    </rPh>
    <phoneticPr fontId="1"/>
  </si>
  <si>
    <t>幼認</t>
    <rPh sb="0" eb="1">
      <t>ヨウ</t>
    </rPh>
    <rPh sb="1" eb="2">
      <t>ニン</t>
    </rPh>
    <phoneticPr fontId="1"/>
  </si>
  <si>
    <t>3号の保育のみに従事している（1号・2号の教育・保育には従事していない）</t>
    <rPh sb="1" eb="2">
      <t>ゴウ</t>
    </rPh>
    <rPh sb="3" eb="5">
      <t>ホイク</t>
    </rPh>
    <rPh sb="8" eb="10">
      <t>ジュウジ</t>
    </rPh>
    <rPh sb="16" eb="17">
      <t>ゴウ</t>
    </rPh>
    <rPh sb="19" eb="20">
      <t>ゴウ</t>
    </rPh>
    <rPh sb="21" eb="23">
      <t>キョウイク</t>
    </rPh>
    <rPh sb="24" eb="26">
      <t>ホイク</t>
    </rPh>
    <rPh sb="28" eb="30">
      <t>ジュウジ</t>
    </rPh>
    <phoneticPr fontId="1"/>
  </si>
  <si>
    <t>＜【別添】添付書類の表紙＞
データでの提出を前提とした内容に変更
＜【様式１】総括表・個票＞
処遇改善加算Ⅲの項目を追加
コロナ特例を廃止
＜(別紙2)土曜閉所、(別紙４)通園、(別紙5)給食・副食＞
コロナ特例を廃止
＜【様式2】職員名簿＞
制度改正に伴う看護師等の特例に係る適否の設定
＜【様式３】シフト表＞
常勤換算の時間数を超える入力の制限を追加
＜【様式５】職員数算出表＞
主幹保育教諭専任化（教育）に非常勤を選択することができないように修正
加配保育士等雇用促進補助金欄での担当時間数入力廃止
＜【様式6】加算確認表＞
処遇改善加算Ⅲの項目を追加</t>
    <phoneticPr fontId="1"/>
  </si>
  <si>
    <t>以下の要件を満たす場合、看護師・保健師を１名保育士としてカウントします。</t>
    <rPh sb="0" eb="2">
      <t>イカ</t>
    </rPh>
    <rPh sb="3" eb="5">
      <t>ヨウケン</t>
    </rPh>
    <rPh sb="6" eb="7">
      <t>ミ</t>
    </rPh>
    <rPh sb="9" eb="11">
      <t>バアイ</t>
    </rPh>
    <rPh sb="12" eb="15">
      <t>カンゴシ</t>
    </rPh>
    <phoneticPr fontId="1"/>
  </si>
  <si>
    <t>4歳以上児配置改善加算</t>
    <phoneticPr fontId="1"/>
  </si>
  <si>
    <t>職員配置を充足している（様式5）</t>
    <rPh sb="0" eb="2">
      <t>ショクイン</t>
    </rPh>
    <rPh sb="2" eb="4">
      <t>ハイチ</t>
    </rPh>
    <rPh sb="5" eb="7">
      <t>ジュウソク</t>
    </rPh>
    <rPh sb="12" eb="14">
      <t>ヨウシキ</t>
    </rPh>
    <phoneticPr fontId="1"/>
  </si>
  <si>
    <t>チーム保育加配加算が算定されていない</t>
    <rPh sb="3" eb="5">
      <t>ホイク</t>
    </rPh>
    <rPh sb="5" eb="7">
      <t>カハイ</t>
    </rPh>
    <rPh sb="7" eb="9">
      <t>カサン</t>
    </rPh>
    <rPh sb="10" eb="12">
      <t>サンテイ</t>
    </rPh>
    <phoneticPr fontId="1"/>
  </si>
  <si>
    <t>5　4歳以上児配置改善加算</t>
    <rPh sb="3" eb="4">
      <t>サイ</t>
    </rPh>
    <rPh sb="4" eb="6">
      <t>イジョウ</t>
    </rPh>
    <rPh sb="6" eb="7">
      <t>ジ</t>
    </rPh>
    <rPh sb="7" eb="9">
      <t>ハイチ</t>
    </rPh>
    <rPh sb="9" eb="11">
      <t>カイゼン</t>
    </rPh>
    <rPh sb="11" eb="13">
      <t>カサン</t>
    </rPh>
    <phoneticPr fontId="1"/>
  </si>
  <si>
    <t>主幹保育教諭等がクラス担当や学級担任を兼務していないか、主幹保育教諭等がクラス担当や学級担任を代理する場合であっても、その期間がひと月を超えない</t>
    <rPh sb="0" eb="7">
      <t>シュカンホイクキョウユトウ</t>
    </rPh>
    <rPh sb="11" eb="13">
      <t>タントウ</t>
    </rPh>
    <rPh sb="14" eb="18">
      <t>ガッキュウタンニン</t>
    </rPh>
    <rPh sb="19" eb="21">
      <t>ケンム</t>
    </rPh>
    <rPh sb="28" eb="34">
      <t>シュカンホイクキョウユ</t>
    </rPh>
    <rPh sb="34" eb="35">
      <t>トウ</t>
    </rPh>
    <rPh sb="39" eb="41">
      <t>タントウ</t>
    </rPh>
    <rPh sb="42" eb="46">
      <t>ガッキュウタンニン</t>
    </rPh>
    <rPh sb="47" eb="49">
      <t>ダイリ</t>
    </rPh>
    <rPh sb="51" eb="53">
      <t>バアイ</t>
    </rPh>
    <rPh sb="61" eb="63">
      <t>キカン</t>
    </rPh>
    <rPh sb="66" eb="67">
      <t>ゲツ</t>
    </rPh>
    <rPh sb="68" eb="69">
      <t>コ</t>
    </rPh>
    <phoneticPr fontId="1"/>
  </si>
  <si>
    <t>　一般型一時預かり事業
（子ども・子育て支援交付金の交付に係る要件に適合しており、かつ、月の平均対象子どもが１人以上いるもの※１。私学助成の子育て支援活動の推進等により行う未就園児の保育、幼稚園型一時預かり事業により行う非在園児の預かり及びこれらと同等の要件を満たして実施しているものを含む。※２）</t>
    <rPh sb="118" eb="119">
      <t>オヨ</t>
    </rPh>
    <rPh sb="124" eb="126">
      <t>ドウトウ</t>
    </rPh>
    <rPh sb="127" eb="129">
      <t>ヨウケン</t>
    </rPh>
    <rPh sb="130" eb="131">
      <t>ミ</t>
    </rPh>
    <rPh sb="134" eb="136">
      <t>ジッシ</t>
    </rPh>
    <phoneticPr fontId="1"/>
  </si>
  <si>
    <t>　小学校と協働して、5歳児から小学校1年生の2年間（2年以上を含む。）のカリキュラムを編成・実施している</t>
    <phoneticPr fontId="1"/>
  </si>
  <si>
    <t>⑥</t>
    <phoneticPr fontId="1"/>
  </si>
  <si>
    <t>④　事業要件のうち6に該当する場合は、園内研修の企画書と実施内容が確認できる書類を提出すること。</t>
    <rPh sb="2" eb="6">
      <t>ジギョウヨウケン</t>
    </rPh>
    <rPh sb="11" eb="13">
      <t>ガイトウ</t>
    </rPh>
    <rPh sb="15" eb="17">
      <t>バアイ</t>
    </rPh>
    <rPh sb="19" eb="21">
      <t>エンナイ</t>
    </rPh>
    <rPh sb="21" eb="23">
      <t>ケンシュウ</t>
    </rPh>
    <rPh sb="24" eb="27">
      <t>キカクショ</t>
    </rPh>
    <rPh sb="28" eb="30">
      <t>ジッシ</t>
    </rPh>
    <rPh sb="30" eb="32">
      <t>ナイヨウ</t>
    </rPh>
    <rPh sb="33" eb="35">
      <t>カクニン</t>
    </rPh>
    <rPh sb="38" eb="40">
      <t>ショルイ</t>
    </rPh>
    <rPh sb="41" eb="43">
      <t>テイシュツ</t>
    </rPh>
    <phoneticPr fontId="1"/>
  </si>
  <si>
    <t>　地方自治体に所属して幼児教育の専門的な知見や豊富な実践経験に基づき幼児教育に関する指導助言等を行う者と連携した園内研修の企画・実施</t>
    <phoneticPr fontId="1"/>
  </si>
  <si>
    <t>（幼児教育に関する指導助言等を行う者は、都道府県及び市町村等の教育委員会又は幼児教育センターなど幼児教育施設に対して幼児教育の内容・指導方法等の指導助言等を行う部局、あるいは幼児教育アドバイザーなどの地方自治体に所属する者を指す）</t>
    <rPh sb="1" eb="5">
      <t>ヨウジキョウイク</t>
    </rPh>
    <rPh sb="6" eb="7">
      <t>カン</t>
    </rPh>
    <rPh sb="9" eb="11">
      <t>シドウ</t>
    </rPh>
    <rPh sb="11" eb="13">
      <t>ジョゲン</t>
    </rPh>
    <rPh sb="13" eb="14">
      <t>トウ</t>
    </rPh>
    <rPh sb="15" eb="16">
      <t>オコナ</t>
    </rPh>
    <rPh sb="17" eb="18">
      <t>モノ</t>
    </rPh>
    <rPh sb="100" eb="105">
      <t>チホウジチタイ</t>
    </rPh>
    <rPh sb="106" eb="108">
      <t>ショゾク</t>
    </rPh>
    <rPh sb="110" eb="111">
      <t>モノ</t>
    </rPh>
    <rPh sb="112" eb="113">
      <t>サ</t>
    </rPh>
    <phoneticPr fontId="1"/>
  </si>
  <si>
    <t>　ア　乳児(０歳児)が３人以上利用している施設※1</t>
    <rPh sb="7" eb="8">
      <t>サイ</t>
    </rPh>
    <rPh sb="8" eb="9">
      <t>ジ</t>
    </rPh>
    <phoneticPr fontId="1"/>
  </si>
  <si>
    <t>ａ　乳児の利用定員が３人以上</t>
    <rPh sb="2" eb="4">
      <t>ニュウジ</t>
    </rPh>
    <rPh sb="5" eb="9">
      <t>リヨウテイイン</t>
    </rPh>
    <rPh sb="11" eb="12">
      <t>ニン</t>
    </rPh>
    <rPh sb="12" eb="14">
      <t>イジョウ</t>
    </rPh>
    <phoneticPr fontId="1"/>
  </si>
  <si>
    <t>ｂ　乳児保育を実施する職員体制を維持している</t>
    <rPh sb="2" eb="4">
      <t>ニュウジ</t>
    </rPh>
    <rPh sb="4" eb="6">
      <t>ホイク</t>
    </rPh>
    <rPh sb="7" eb="9">
      <t>ジッシ</t>
    </rPh>
    <rPh sb="11" eb="13">
      <t>ショクイン</t>
    </rPh>
    <rPh sb="13" eb="15">
      <t>タイセイ</t>
    </rPh>
    <rPh sb="16" eb="18">
      <t>イジ</t>
    </rPh>
    <phoneticPr fontId="1"/>
  </si>
  <si>
    <t>ｃ　地域の親子が交流する場の提供や子育てに関する相談会を
　　月２回以上開催している</t>
    <rPh sb="2" eb="4">
      <t>チイキ</t>
    </rPh>
    <rPh sb="5" eb="7">
      <t>オヤコ</t>
    </rPh>
    <rPh sb="8" eb="10">
      <t>コウリュウ</t>
    </rPh>
    <rPh sb="12" eb="13">
      <t>バ</t>
    </rPh>
    <rPh sb="14" eb="16">
      <t>テイキョウ</t>
    </rPh>
    <rPh sb="17" eb="19">
      <t>コソダ</t>
    </rPh>
    <rPh sb="21" eb="22">
      <t>カン</t>
    </rPh>
    <rPh sb="24" eb="27">
      <t>ソウダンカイ</t>
    </rPh>
    <rPh sb="31" eb="32">
      <t>ツキ</t>
    </rPh>
    <rPh sb="33" eb="34">
      <t>カイ</t>
    </rPh>
    <rPh sb="34" eb="36">
      <t>イジョウ</t>
    </rPh>
    <rPh sb="36" eb="38">
      <t>カイサイ</t>
    </rPh>
    <phoneticPr fontId="1"/>
  </si>
  <si>
    <t>ｄ　上記ア～ウを満たす場合、前年度に乳児３人以上の利用の
　　要件を満たしていた最初の月
　（令和５年度に特例の適用があった月を含む）</t>
    <rPh sb="2" eb="4">
      <t>ジョウキ</t>
    </rPh>
    <rPh sb="8" eb="9">
      <t>ミ</t>
    </rPh>
    <rPh sb="11" eb="13">
      <t>バアイ</t>
    </rPh>
    <rPh sb="14" eb="17">
      <t>ゼンネンド</t>
    </rPh>
    <rPh sb="18" eb="20">
      <t>ニュウジ</t>
    </rPh>
    <rPh sb="21" eb="22">
      <t>ニン</t>
    </rPh>
    <rPh sb="22" eb="24">
      <t>イジョウ</t>
    </rPh>
    <rPh sb="25" eb="27">
      <t>リヨウ</t>
    </rPh>
    <rPh sb="31" eb="33">
      <t>ヨウケン</t>
    </rPh>
    <rPh sb="34" eb="35">
      <t>ミ</t>
    </rPh>
    <rPh sb="40" eb="42">
      <t>サイショ</t>
    </rPh>
    <rPh sb="43" eb="44">
      <t>ゲツ</t>
    </rPh>
    <rPh sb="47" eb="49">
      <t>レイワ</t>
    </rPh>
    <rPh sb="50" eb="52">
      <t>ネンド</t>
    </rPh>
    <rPh sb="53" eb="55">
      <t>トクレイ</t>
    </rPh>
    <rPh sb="56" eb="58">
      <t>テキヨウ</t>
    </rPh>
    <rPh sb="62" eb="63">
      <t>ツキ</t>
    </rPh>
    <rPh sb="64" eb="65">
      <t>フク</t>
    </rPh>
    <phoneticPr fontId="1"/>
  </si>
  <si>
    <t>④　事業要件のうち4-イ-ｃに該当する場合は、実施内容が確認できる挙証書類を添付すること。</t>
    <phoneticPr fontId="1"/>
  </si>
  <si>
    <t>加算要件
（１～４のいずれかの要件を満たさない場合に減算）</t>
    <rPh sb="0" eb="2">
      <t>カサン</t>
    </rPh>
    <rPh sb="2" eb="4">
      <t>ヨウケン</t>
    </rPh>
    <rPh sb="19" eb="20">
      <t>ミ</t>
    </rPh>
    <rPh sb="24" eb="26">
      <t>バアイ</t>
    </rPh>
    <rPh sb="27" eb="29">
      <t>ゲンサン</t>
    </rPh>
    <phoneticPr fontId="1"/>
  </si>
  <si>
    <t>主任保育士がクラス担当を兼務していないか、主任保育士がクラス担当を代理する場合であっても、その期間がひと月を超えない</t>
    <rPh sb="0" eb="5">
      <t>シュニンホイクシ</t>
    </rPh>
    <rPh sb="9" eb="11">
      <t>タントウ</t>
    </rPh>
    <rPh sb="12" eb="14">
      <t>ケンム</t>
    </rPh>
    <rPh sb="21" eb="26">
      <t>シュニンホイクシ</t>
    </rPh>
    <rPh sb="30" eb="32">
      <t>タントウ</t>
    </rPh>
    <rPh sb="33" eb="35">
      <t>ダイリ</t>
    </rPh>
    <rPh sb="37" eb="39">
      <t>バアイ</t>
    </rPh>
    <rPh sb="47" eb="49">
      <t>キカン</t>
    </rPh>
    <rPh sb="52" eb="53">
      <t>ゲツ</t>
    </rPh>
    <rPh sb="54" eb="55">
      <t>コ</t>
    </rPh>
    <phoneticPr fontId="1"/>
  </si>
  <si>
    <t>　イ　前項④-アで乳児が３人以上利用していない場合でも、次のａ～ｄを全て満たす
　　ときは、乳児３人以上の利用の要件を満たしたものと取り扱う</t>
    <rPh sb="3" eb="5">
      <t>ゼンコウ</t>
    </rPh>
    <rPh sb="9" eb="11">
      <t>ニュウジ</t>
    </rPh>
    <rPh sb="13" eb="14">
      <t>ニン</t>
    </rPh>
    <rPh sb="14" eb="16">
      <t>イジョウ</t>
    </rPh>
    <rPh sb="16" eb="18">
      <t>リヨウ</t>
    </rPh>
    <rPh sb="23" eb="25">
      <t>バアイ</t>
    </rPh>
    <rPh sb="28" eb="29">
      <t>ツギ</t>
    </rPh>
    <rPh sb="34" eb="35">
      <t>スベ</t>
    </rPh>
    <rPh sb="36" eb="37">
      <t>ミ</t>
    </rPh>
    <rPh sb="46" eb="48">
      <t>ニュウジ</t>
    </rPh>
    <rPh sb="49" eb="50">
      <t>ニン</t>
    </rPh>
    <rPh sb="50" eb="52">
      <t>イジョウ</t>
    </rPh>
    <rPh sb="53" eb="55">
      <t>リヨウ</t>
    </rPh>
    <rPh sb="56" eb="58">
      <t>ヨウケン</t>
    </rPh>
    <rPh sb="59" eb="60">
      <t>ミ</t>
    </rPh>
    <rPh sb="66" eb="67">
      <t>ト</t>
    </rPh>
    <rPh sb="68" eb="69">
      <t>アツカ</t>
    </rPh>
    <phoneticPr fontId="1"/>
  </si>
  <si>
    <t>４歳以上児配置改善加算</t>
    <phoneticPr fontId="1"/>
  </si>
  <si>
    <t>　本様式はExcel for Microsoft 365（Microsoft社）で作成しておりますので、Excel for Microsoft 365での作成を推奨します。このため、Excel for Microsoft 365以外のバージョン（2021、2019、2016等）及びMicrosoft社製以外の表計算ソフト（Kingsoft、Numbers等）での動作は保証いたしません。</t>
    <rPh sb="114" eb="116">
      <t>イガイ</t>
    </rPh>
    <phoneticPr fontId="1"/>
  </si>
  <si>
    <t>救世軍桑園保育所</t>
  </si>
  <si>
    <t>認定こども園愛育保育園</t>
    <rPh sb="0" eb="2">
      <t>ニンテイ</t>
    </rPh>
    <rPh sb="5" eb="6">
      <t>エン</t>
    </rPh>
    <phoneticPr fontId="1"/>
  </si>
  <si>
    <t>山鼻保育園</t>
  </si>
  <si>
    <t>認定こども園啓明ともいき保育園</t>
    <rPh sb="0" eb="2">
      <t>ニンテイ</t>
    </rPh>
    <rPh sb="5" eb="6">
      <t>エン</t>
    </rPh>
    <phoneticPr fontId="1"/>
  </si>
  <si>
    <t>宮の森ライラックこども園</t>
    <rPh sb="11" eb="12">
      <t>エン</t>
    </rPh>
    <phoneticPr fontId="1"/>
  </si>
  <si>
    <t>認定こども園百合が原幼稚園</t>
    <rPh sb="0" eb="2">
      <t>ニンテイ</t>
    </rPh>
    <rPh sb="5" eb="6">
      <t>エン</t>
    </rPh>
    <phoneticPr fontId="1"/>
  </si>
  <si>
    <t>そうせい幼稚園</t>
    <rPh sb="4" eb="7">
      <t>ヨウチエン</t>
    </rPh>
    <phoneticPr fontId="1"/>
  </si>
  <si>
    <t>屯田保育園</t>
  </si>
  <si>
    <t>認定こども園おーるまいてぃ屯田園</t>
    <rPh sb="0" eb="2">
      <t>ニンテイ</t>
    </rPh>
    <rPh sb="5" eb="6">
      <t>エン</t>
    </rPh>
    <rPh sb="13" eb="15">
      <t>トンデン</t>
    </rPh>
    <rPh sb="15" eb="16">
      <t>エン</t>
    </rPh>
    <phoneticPr fontId="1"/>
  </si>
  <si>
    <t>保育所型札幌北はぐはぐ認定こども園</t>
    <rPh sb="0" eb="2">
      <t>ホイク</t>
    </rPh>
    <rPh sb="2" eb="3">
      <t>ショ</t>
    </rPh>
    <rPh sb="3" eb="4">
      <t>ガタ</t>
    </rPh>
    <rPh sb="4" eb="6">
      <t>サッポロ</t>
    </rPh>
    <rPh sb="6" eb="7">
      <t>キタ</t>
    </rPh>
    <rPh sb="11" eb="13">
      <t>ニンテイ</t>
    </rPh>
    <rPh sb="16" eb="17">
      <t>エン</t>
    </rPh>
    <phoneticPr fontId="1"/>
  </si>
  <si>
    <t>認定こども園こころのさと保育園</t>
  </si>
  <si>
    <t>認定こども園かりき保育園</t>
    <rPh sb="0" eb="2">
      <t>ニンテイ</t>
    </rPh>
    <rPh sb="5" eb="6">
      <t>エン</t>
    </rPh>
    <phoneticPr fontId="1"/>
  </si>
  <si>
    <t>まことさつなえこども園</t>
    <rPh sb="10" eb="11">
      <t>エン</t>
    </rPh>
    <phoneticPr fontId="1"/>
  </si>
  <si>
    <t>まことさっぽろこども園</t>
    <rPh sb="10" eb="11">
      <t>エン</t>
    </rPh>
    <phoneticPr fontId="1"/>
  </si>
  <si>
    <t>認定こども園大谷地たかだ保育園</t>
    <rPh sb="0" eb="2">
      <t>ニンテイ</t>
    </rPh>
    <rPh sb="5" eb="6">
      <t>エン</t>
    </rPh>
    <rPh sb="6" eb="9">
      <t>オオヤチ</t>
    </rPh>
    <rPh sb="12" eb="15">
      <t>ホイクエン</t>
    </rPh>
    <phoneticPr fontId="1"/>
  </si>
  <si>
    <t>青葉興正こども園</t>
  </si>
  <si>
    <t>認定こども園札幌白ゆり幼稚園</t>
    <rPh sb="0" eb="2">
      <t>ニンテイ</t>
    </rPh>
    <rPh sb="5" eb="6">
      <t>エン</t>
    </rPh>
    <rPh sb="6" eb="8">
      <t>サッポロ</t>
    </rPh>
    <rPh sb="11" eb="14">
      <t>ヨウチエン</t>
    </rPh>
    <phoneticPr fontId="1"/>
  </si>
  <si>
    <t>認定こども園札幌愛隣舘</t>
    <rPh sb="0" eb="2">
      <t>ニンテイ</t>
    </rPh>
    <rPh sb="5" eb="6">
      <t>エン</t>
    </rPh>
    <phoneticPr fontId="1"/>
  </si>
  <si>
    <t>認定こども園札幌南清田保育園</t>
    <rPh sb="0" eb="2">
      <t>ニンテイ</t>
    </rPh>
    <rPh sb="5" eb="6">
      <t>エン</t>
    </rPh>
    <phoneticPr fontId="1"/>
  </si>
  <si>
    <t>認定こども園札幌あさひ保育園</t>
  </si>
  <si>
    <t>認定こども園札幌真栄東保育園</t>
    <rPh sb="0" eb="2">
      <t>ニンテイ</t>
    </rPh>
    <rPh sb="5" eb="6">
      <t>エン</t>
    </rPh>
    <phoneticPr fontId="1"/>
  </si>
  <si>
    <t>認定こども園藻岩そらいろ保育園</t>
    <rPh sb="0" eb="2">
      <t>ニンテイ</t>
    </rPh>
    <rPh sb="5" eb="6">
      <t>エン</t>
    </rPh>
    <rPh sb="6" eb="8">
      <t>モイワ</t>
    </rPh>
    <rPh sb="12" eb="15">
      <t>ホイクエン</t>
    </rPh>
    <phoneticPr fontId="1"/>
  </si>
  <si>
    <t>認定こども園まこまないみどりまち保育園</t>
    <rPh sb="0" eb="2">
      <t>ニンテイ</t>
    </rPh>
    <rPh sb="5" eb="6">
      <t>エン</t>
    </rPh>
    <phoneticPr fontId="1"/>
  </si>
  <si>
    <t>認定こども園平和あすみ保育園</t>
    <rPh sb="0" eb="2">
      <t>ニンテイ</t>
    </rPh>
    <rPh sb="5" eb="6">
      <t>エン</t>
    </rPh>
    <rPh sb="6" eb="8">
      <t>ヘイワ</t>
    </rPh>
    <rPh sb="11" eb="14">
      <t>ホイクエン</t>
    </rPh>
    <phoneticPr fontId="1"/>
  </si>
  <si>
    <t>認定こども園山の手あすみ保育園</t>
    <rPh sb="0" eb="2">
      <t>ニンテイ</t>
    </rPh>
    <rPh sb="5" eb="6">
      <t>エン</t>
    </rPh>
    <rPh sb="12" eb="15">
      <t>ホイクエン</t>
    </rPh>
    <phoneticPr fontId="1"/>
  </si>
  <si>
    <t>認定こども園新発寒みつばち保育園</t>
    <rPh sb="0" eb="2">
      <t>ニンテイ</t>
    </rPh>
    <rPh sb="5" eb="6">
      <t>エン</t>
    </rPh>
    <rPh sb="6" eb="9">
      <t>シンハッサム</t>
    </rPh>
    <rPh sb="13" eb="16">
      <t>ホイクエン</t>
    </rPh>
    <phoneticPr fontId="2"/>
  </si>
  <si>
    <t>認定こども園手稲みつばち保育園</t>
    <rPh sb="0" eb="2">
      <t>ニンテイ</t>
    </rPh>
    <rPh sb="5" eb="6">
      <t>エン</t>
    </rPh>
    <rPh sb="6" eb="8">
      <t>テイネ</t>
    </rPh>
    <rPh sb="12" eb="15">
      <t>ホイクエン</t>
    </rPh>
    <phoneticPr fontId="1"/>
  </si>
  <si>
    <t>北区</t>
    <phoneticPr fontId="1"/>
  </si>
  <si>
    <t>屯田おおふじ子ども園</t>
    <phoneticPr fontId="1"/>
  </si>
  <si>
    <t>認定こども園こうほく</t>
    <phoneticPr fontId="1"/>
  </si>
  <si>
    <t>手稲やまなみ子ども園</t>
    <phoneticPr fontId="1"/>
  </si>
  <si>
    <t>ていねあすなろ認定こども園</t>
    <rPh sb="7" eb="9">
      <t>ニンテイ</t>
    </rPh>
    <rPh sb="12" eb="13">
      <t>エン</t>
    </rPh>
    <phoneticPr fontId="1"/>
  </si>
  <si>
    <t>幼保</t>
    <phoneticPr fontId="1"/>
  </si>
  <si>
    <t>保認</t>
    <phoneticPr fontId="1"/>
  </si>
  <si>
    <t>二十四軒保育園</t>
    <rPh sb="0" eb="4">
      <t>ニジュウヨンケン</t>
    </rPh>
    <rPh sb="4" eb="7">
      <t>ホイクエン</t>
    </rPh>
    <phoneticPr fontId="1"/>
  </si>
  <si>
    <t>※3　利用児童数(実績)について、当日キャンセルの児童は含めて良い(前日までのキャンセルは不可)。当日キャンセルの児童について確認することがあるため、記録を残すなどすること。
なお、運動会等による行事開催が当日キャンセルになった場合も保護者の希望があれば保育を実施する必要があることに留意すること。</t>
    <rPh sb="3" eb="5">
      <t>リヨウ</t>
    </rPh>
    <rPh sb="5" eb="7">
      <t>ジドウ</t>
    </rPh>
    <rPh sb="7" eb="8">
      <t>スウ</t>
    </rPh>
    <rPh sb="9" eb="11">
      <t>ジッセキ</t>
    </rPh>
    <rPh sb="17" eb="19">
      <t>トウジツ</t>
    </rPh>
    <rPh sb="25" eb="27">
      <t>ジドウ</t>
    </rPh>
    <rPh sb="28" eb="29">
      <t>フク</t>
    </rPh>
    <rPh sb="31" eb="32">
      <t>ヨ</t>
    </rPh>
    <rPh sb="34" eb="36">
      <t>ゼンジツ</t>
    </rPh>
    <rPh sb="45" eb="47">
      <t>フカ</t>
    </rPh>
    <rPh sb="49" eb="51">
      <t>トウジツ</t>
    </rPh>
    <rPh sb="57" eb="59">
      <t>ジドウ</t>
    </rPh>
    <rPh sb="63" eb="65">
      <t>カクニン</t>
    </rPh>
    <rPh sb="75" eb="77">
      <t>キロク</t>
    </rPh>
    <rPh sb="78" eb="79">
      <t>ノコ</t>
    </rPh>
    <rPh sb="103" eb="105">
      <t>トウジツ</t>
    </rPh>
    <rPh sb="142" eb="144">
      <t>リュウイ</t>
    </rPh>
    <phoneticPr fontId="1"/>
  </si>
  <si>
    <t>＜（別紙３）休日＞
配置職員の常勤・非常勤を選択できるよう修正
＜【様式５】職員数算出表＞
103行目を非表示</t>
    <rPh sb="2" eb="4">
      <t>ベッシ</t>
    </rPh>
    <rPh sb="6" eb="8">
      <t>キュウジツ</t>
    </rPh>
    <rPh sb="10" eb="14">
      <t>ハイチショクイン</t>
    </rPh>
    <rPh sb="15" eb="17">
      <t>ジョウキン</t>
    </rPh>
    <rPh sb="18" eb="21">
      <t>ヒジョウキン</t>
    </rPh>
    <rPh sb="22" eb="24">
      <t>センタク</t>
    </rPh>
    <rPh sb="29" eb="31">
      <t>シュウセイ</t>
    </rPh>
    <rPh sb="49" eb="51">
      <t>ギョウメ</t>
    </rPh>
    <rPh sb="52" eb="55">
      <t>ヒヒョウジ</t>
    </rPh>
    <phoneticPr fontId="1"/>
  </si>
  <si>
    <t>編成・実施している</t>
    <rPh sb="0" eb="2">
      <t>ヘンセイ</t>
    </rPh>
    <rPh sb="3" eb="5">
      <t>ジッシ</t>
    </rPh>
    <phoneticPr fontId="1"/>
  </si>
  <si>
    <t>編成中</t>
    <rPh sb="0" eb="2">
      <t>ヘンセイ</t>
    </rPh>
    <rPh sb="2" eb="3">
      <t>チュウ</t>
    </rPh>
    <phoneticPr fontId="1"/>
  </si>
  <si>
    <t>③ 事業要件のうち5に該当する場合は以下の添付書類を全て提出すること。
　(1)　業務分担表（小学校接続担当の記載があるもの。また、幼保小連携協議会担当は不可）
　(2)　別紙7
　(3)　小学校と協働して、5歳児から小学校1年生の2年間（2年以上を含む。）のカリキュラム
　(4)　前項(3)のカリキュラムを、小学校と協働して実施した内容が確認できる書類
  (5)  前項(3)のカリキュラムを小学校と編成中であればスケジュール等が確認できる書類を提出してください。</t>
    <rPh sb="2" eb="4">
      <t>ジギョウ</t>
    </rPh>
    <rPh sb="4" eb="6">
      <t>ヨウケン</t>
    </rPh>
    <rPh sb="11" eb="13">
      <t>ガイトウ</t>
    </rPh>
    <rPh sb="15" eb="17">
      <t>バアイ</t>
    </rPh>
    <rPh sb="18" eb="20">
      <t>イカ</t>
    </rPh>
    <rPh sb="21" eb="23">
      <t>テンプ</t>
    </rPh>
    <rPh sb="23" eb="25">
      <t>ショルイ</t>
    </rPh>
    <rPh sb="26" eb="27">
      <t>スベ</t>
    </rPh>
    <rPh sb="28" eb="30">
      <t>テイシュツ</t>
    </rPh>
    <rPh sb="86" eb="88">
      <t>ベッシ</t>
    </rPh>
    <rPh sb="95" eb="98">
      <t>ショウガッコウ</t>
    </rPh>
    <rPh sb="99" eb="101">
      <t>キョウドウ</t>
    </rPh>
    <rPh sb="105" eb="107">
      <t>サイジ</t>
    </rPh>
    <rPh sb="109" eb="112">
      <t>ショウガッコウ</t>
    </rPh>
    <rPh sb="113" eb="115">
      <t>ネンセイ</t>
    </rPh>
    <rPh sb="117" eb="119">
      <t>ネンカン</t>
    </rPh>
    <rPh sb="121" eb="124">
      <t>ネンイジョウ</t>
    </rPh>
    <rPh sb="125" eb="126">
      <t>フク</t>
    </rPh>
    <rPh sb="142" eb="143">
      <t>マエ</t>
    </rPh>
    <rPh sb="156" eb="159">
      <t>ショウガッコウ</t>
    </rPh>
    <rPh sb="160" eb="162">
      <t>キョウドウ</t>
    </rPh>
    <rPh sb="164" eb="166">
      <t>ジッシ</t>
    </rPh>
    <rPh sb="168" eb="170">
      <t>ナイヨウ</t>
    </rPh>
    <rPh sb="171" eb="173">
      <t>カクニン</t>
    </rPh>
    <rPh sb="176" eb="178">
      <t>ショルイ</t>
    </rPh>
    <rPh sb="186" eb="188">
      <t>ゼンコウ</t>
    </rPh>
    <rPh sb="199" eb="202">
      <t>ショウガッコウ</t>
    </rPh>
    <rPh sb="203" eb="205">
      <t>ヘンセイ</t>
    </rPh>
    <rPh sb="205" eb="206">
      <t>チュウ</t>
    </rPh>
    <rPh sb="216" eb="217">
      <t>ナド</t>
    </rPh>
    <rPh sb="218" eb="220">
      <t>カクニン</t>
    </rPh>
    <rPh sb="223" eb="225">
      <t>ショルイ</t>
    </rPh>
    <rPh sb="226" eb="228">
      <t>テイシュツ</t>
    </rPh>
    <phoneticPr fontId="1"/>
  </si>
  <si>
    <t>当年度延べ利用子ども数※3、4、5（見込）</t>
    <rPh sb="0" eb="3">
      <t>トウネンド</t>
    </rPh>
    <rPh sb="3" eb="4">
      <t>ノ</t>
    </rPh>
    <rPh sb="18" eb="20">
      <t>ミコミ</t>
    </rPh>
    <phoneticPr fontId="1"/>
  </si>
  <si>
    <r>
      <rPr>
        <b/>
        <sz val="9"/>
        <color theme="1"/>
        <rFont val="ＭＳ Ｐゴシック"/>
        <family val="3"/>
        <charset val="128"/>
        <scheme val="minor"/>
      </rPr>
      <t xml:space="preserve">＜【様式１】総括表・個票＞
</t>
    </r>
    <r>
      <rPr>
        <sz val="9"/>
        <color theme="1"/>
        <rFont val="ＭＳ Ｐゴシック"/>
        <family val="3"/>
        <charset val="128"/>
        <scheme val="minor"/>
      </rPr>
      <t xml:space="preserve">休日保育部分「当年度延べ利用子ども数」のセルをロック
＜【様式１】総括表・個票＞
主幹保育教諭等専任化未実施（1号）の小学校接続要件について新たに選択項目を設け「編成・実施している、編成中、×」を選択することとした
</t>
    </r>
    <r>
      <rPr>
        <b/>
        <sz val="9"/>
        <color theme="1"/>
        <rFont val="ＭＳ Ｐゴシック"/>
        <family val="3"/>
        <charset val="128"/>
        <scheme val="minor"/>
      </rPr>
      <t xml:space="preserve">＜【様式２】職員名簿＞
</t>
    </r>
    <r>
      <rPr>
        <sz val="9"/>
        <color theme="1"/>
        <rFont val="ＭＳ Ｐゴシック"/>
        <family val="3"/>
        <charset val="128"/>
        <scheme val="minor"/>
      </rPr>
      <t>初日時点の契約状況から「代替（助成金等対象）」を選択項目から消去</t>
    </r>
    <rPh sb="14" eb="16">
      <t>キュウジツ</t>
    </rPh>
    <rPh sb="16" eb="18">
      <t>ホイク</t>
    </rPh>
    <rPh sb="18" eb="20">
      <t>ブブン</t>
    </rPh>
    <rPh sb="21" eb="24">
      <t>トウネンド</t>
    </rPh>
    <rPh sb="24" eb="25">
      <t>ノ</t>
    </rPh>
    <rPh sb="26" eb="28">
      <t>リヨウ</t>
    </rPh>
    <rPh sb="28" eb="29">
      <t>コ</t>
    </rPh>
    <rPh sb="31" eb="32">
      <t>スウ</t>
    </rPh>
    <rPh sb="55" eb="57">
      <t>シュカン</t>
    </rPh>
    <rPh sb="57" eb="59">
      <t>ホイク</t>
    </rPh>
    <rPh sb="59" eb="61">
      <t>キョウユ</t>
    </rPh>
    <rPh sb="61" eb="62">
      <t>ナド</t>
    </rPh>
    <rPh sb="62" eb="64">
      <t>センニン</t>
    </rPh>
    <rPh sb="64" eb="65">
      <t>カ</t>
    </rPh>
    <rPh sb="65" eb="68">
      <t>ミジッシ</t>
    </rPh>
    <rPh sb="70" eb="71">
      <t>ゴウ</t>
    </rPh>
    <rPh sb="128" eb="130">
      <t>ショクイン</t>
    </rPh>
    <rPh sb="130" eb="132">
      <t>メイボ</t>
    </rPh>
    <rPh sb="134" eb="136">
      <t>ショニチ</t>
    </rPh>
    <rPh sb="136" eb="138">
      <t>ジテン</t>
    </rPh>
    <rPh sb="139" eb="141">
      <t>ケイヤク</t>
    </rPh>
    <rPh sb="141" eb="143">
      <t>ジョウキョウ</t>
    </rPh>
    <rPh sb="146" eb="148">
      <t>ダイタイ</t>
    </rPh>
    <rPh sb="149" eb="151">
      <t>ジョセイ</t>
    </rPh>
    <rPh sb="151" eb="152">
      <t>キン</t>
    </rPh>
    <rPh sb="152" eb="153">
      <t>ナド</t>
    </rPh>
    <rPh sb="153" eb="155">
      <t>タイショウ</t>
    </rPh>
    <rPh sb="158" eb="160">
      <t>センタク</t>
    </rPh>
    <rPh sb="160" eb="162">
      <t>コウモク</t>
    </rPh>
    <rPh sb="164" eb="166">
      <t>ショウキョ</t>
    </rPh>
    <phoneticPr fontId="1"/>
  </si>
  <si>
    <t>真駒内聖母認定こども園</t>
  </si>
  <si>
    <t>施設運営課職員</t>
    <rPh sb="0" eb="4">
      <t>シセツウンエイ</t>
    </rPh>
    <rPh sb="4" eb="5">
      <t>カ</t>
    </rPh>
    <rPh sb="5" eb="7">
      <t>ショクイン</t>
    </rPh>
    <phoneticPr fontId="1"/>
  </si>
  <si>
    <t>振替休日（元日）</t>
  </si>
  <si>
    <t>振替休日（憲法記念日）</t>
    <rPh sb="0" eb="4">
      <t>フリカエキュウジツ</t>
    </rPh>
    <phoneticPr fontId="1"/>
  </si>
  <si>
    <t>国民の休日</t>
    <rPh sb="0" eb="2">
      <t>コクミン</t>
    </rPh>
    <rPh sb="3" eb="5">
      <t>キュウジツ</t>
    </rPh>
    <phoneticPr fontId="1"/>
  </si>
  <si>
    <t>処遇改善等加算</t>
    <rPh sb="0" eb="2">
      <t>ショグウ</t>
    </rPh>
    <rPh sb="2" eb="5">
      <t>カイゼンナド</t>
    </rPh>
    <rPh sb="5" eb="7">
      <t>カサン</t>
    </rPh>
    <phoneticPr fontId="1"/>
  </si>
  <si>
    <t>1歳児配置改善加算</t>
    <phoneticPr fontId="1"/>
  </si>
  <si>
    <t>職員配置を充足している（様式5）</t>
    <phoneticPr fontId="1"/>
  </si>
  <si>
    <t>処遇改善等加算の区分１、区分２及び区分３のいずれも取得している</t>
    <rPh sb="0" eb="4">
      <t>ショグウカイゼン</t>
    </rPh>
    <rPh sb="4" eb="5">
      <t>ナド</t>
    </rPh>
    <rPh sb="5" eb="7">
      <t>カサン</t>
    </rPh>
    <rPh sb="8" eb="10">
      <t>クブン</t>
    </rPh>
    <rPh sb="12" eb="14">
      <t>クブン</t>
    </rPh>
    <rPh sb="15" eb="16">
      <t>オヨ</t>
    </rPh>
    <rPh sb="17" eb="19">
      <t>クブン</t>
    </rPh>
    <rPh sb="25" eb="27">
      <t>シュトク</t>
    </rPh>
    <phoneticPr fontId="1"/>
  </si>
  <si>
    <t>業務においてICTの活用を進めており、以下の①及び②～④のいずれか１つの機能以上の機器を導入し、業務に活用している</t>
    <rPh sb="0" eb="2">
      <t>ギョウム</t>
    </rPh>
    <rPh sb="10" eb="12">
      <t>カツヨウ</t>
    </rPh>
    <rPh sb="13" eb="14">
      <t>スス</t>
    </rPh>
    <rPh sb="19" eb="21">
      <t>イカ</t>
    </rPh>
    <rPh sb="23" eb="24">
      <t>オヨ</t>
    </rPh>
    <rPh sb="36" eb="40">
      <t>キノウイジョウ</t>
    </rPh>
    <rPh sb="41" eb="43">
      <t>キキ</t>
    </rPh>
    <rPh sb="44" eb="46">
      <t>ドウニュウ</t>
    </rPh>
    <rPh sb="48" eb="50">
      <t>ギョウム</t>
    </rPh>
    <rPh sb="51" eb="53">
      <t>カツヨウ</t>
    </rPh>
    <phoneticPr fontId="1"/>
  </si>
  <si>
    <t>園児の登園及び降園に管理に関する機能</t>
    <rPh sb="0" eb="2">
      <t>エンジ</t>
    </rPh>
    <rPh sb="3" eb="5">
      <t>トウエン</t>
    </rPh>
    <rPh sb="5" eb="6">
      <t>オヨ</t>
    </rPh>
    <rPh sb="7" eb="9">
      <t>コウエン</t>
    </rPh>
    <rPh sb="10" eb="12">
      <t>カンリ</t>
    </rPh>
    <rPh sb="13" eb="14">
      <t>カン</t>
    </rPh>
    <rPh sb="16" eb="18">
      <t>キノウ</t>
    </rPh>
    <phoneticPr fontId="1"/>
  </si>
  <si>
    <t>保育に係る計画・記録に関する機能（※１）</t>
    <rPh sb="0" eb="2">
      <t>ホイク</t>
    </rPh>
    <rPh sb="3" eb="4">
      <t>カカ</t>
    </rPh>
    <rPh sb="5" eb="7">
      <t>ケイカク</t>
    </rPh>
    <rPh sb="8" eb="10">
      <t>キロク</t>
    </rPh>
    <rPh sb="11" eb="12">
      <t>カン</t>
    </rPh>
    <rPh sb="14" eb="16">
      <t>キノウ</t>
    </rPh>
    <phoneticPr fontId="1"/>
  </si>
  <si>
    <t>保護者との連絡に関する機能（※２）</t>
    <rPh sb="0" eb="3">
      <t>ホゴシャ</t>
    </rPh>
    <rPh sb="5" eb="7">
      <t>レンラク</t>
    </rPh>
    <rPh sb="8" eb="9">
      <t>カン</t>
    </rPh>
    <rPh sb="11" eb="13">
      <t>キノウ</t>
    </rPh>
    <phoneticPr fontId="1"/>
  </si>
  <si>
    <t>キャッシュレス決済に関する機能</t>
    <rPh sb="7" eb="9">
      <t>ケッサイ</t>
    </rPh>
    <rPh sb="10" eb="11">
      <t>カン</t>
    </rPh>
    <rPh sb="13" eb="15">
      <t>キノウ</t>
    </rPh>
    <phoneticPr fontId="1"/>
  </si>
  <si>
    <t>「施設型給付費等に係る処遇改善等加算について」第４加算額の算定、２ 区分１及び区分２の加算率の算定に示す方法により算定される「職員１人当たりの平均経験年数」が10年以上である（※３）</t>
    <rPh sb="1" eb="4">
      <t>シセツガタ</t>
    </rPh>
    <rPh sb="4" eb="7">
      <t>キュウフヒ</t>
    </rPh>
    <rPh sb="7" eb="8">
      <t>ナド</t>
    </rPh>
    <rPh sb="9" eb="10">
      <t>カカ</t>
    </rPh>
    <rPh sb="11" eb="13">
      <t>ショグウ</t>
    </rPh>
    <rPh sb="13" eb="15">
      <t>カイゼン</t>
    </rPh>
    <rPh sb="15" eb="16">
      <t>ナド</t>
    </rPh>
    <rPh sb="16" eb="18">
      <t>カサン</t>
    </rPh>
    <rPh sb="23" eb="24">
      <t>ダイ</t>
    </rPh>
    <rPh sb="25" eb="28">
      <t>カサンガク</t>
    </rPh>
    <rPh sb="29" eb="31">
      <t>サンテイ</t>
    </rPh>
    <rPh sb="34" eb="36">
      <t>クブン</t>
    </rPh>
    <rPh sb="37" eb="38">
      <t>オヨ</t>
    </rPh>
    <rPh sb="39" eb="41">
      <t>クブン</t>
    </rPh>
    <rPh sb="43" eb="46">
      <t>カサンリツ</t>
    </rPh>
    <rPh sb="47" eb="49">
      <t>サンテイ</t>
    </rPh>
    <rPh sb="50" eb="51">
      <t>シメ</t>
    </rPh>
    <rPh sb="52" eb="54">
      <t>ホウホウ</t>
    </rPh>
    <rPh sb="57" eb="59">
      <t>サンテイ</t>
    </rPh>
    <rPh sb="63" eb="65">
      <t>ショクイン</t>
    </rPh>
    <rPh sb="66" eb="67">
      <t>ニン</t>
    </rPh>
    <rPh sb="67" eb="68">
      <t>ア</t>
    </rPh>
    <rPh sb="71" eb="77">
      <t>ヘイキンケイケンネンスウ</t>
    </rPh>
    <rPh sb="81" eb="82">
      <t>ネン</t>
    </rPh>
    <rPh sb="82" eb="84">
      <t>イジョウ</t>
    </rPh>
    <phoneticPr fontId="1"/>
  </si>
  <si>
    <t>①　様式5</t>
    <rPh sb="2" eb="4">
      <t>ヨウシキ</t>
    </rPh>
    <phoneticPr fontId="1"/>
  </si>
  <si>
    <t>②　加算要件3を満たす場合：要件3-①及び②～④のいずれかの機能を有する機器を導入し、業務に活用していることを証明する書類（機器の機能が分かるカタログ及びその機器の活用状況が分かる文書、写真等）</t>
    <rPh sb="2" eb="4">
      <t>カサン</t>
    </rPh>
    <rPh sb="4" eb="6">
      <t>ヨウケン</t>
    </rPh>
    <rPh sb="8" eb="9">
      <t>ミ</t>
    </rPh>
    <rPh sb="11" eb="13">
      <t>バアイ</t>
    </rPh>
    <rPh sb="14" eb="16">
      <t>ヨウケン</t>
    </rPh>
    <rPh sb="19" eb="20">
      <t>オヨ</t>
    </rPh>
    <rPh sb="30" eb="32">
      <t>キノウ</t>
    </rPh>
    <rPh sb="33" eb="34">
      <t>ユウ</t>
    </rPh>
    <rPh sb="36" eb="38">
      <t>キキ</t>
    </rPh>
    <rPh sb="39" eb="41">
      <t>ドウニュウ</t>
    </rPh>
    <rPh sb="43" eb="45">
      <t>ギョウム</t>
    </rPh>
    <rPh sb="46" eb="48">
      <t>カツヨウ</t>
    </rPh>
    <rPh sb="55" eb="57">
      <t>ショウメイ</t>
    </rPh>
    <rPh sb="59" eb="61">
      <t>ショルイ</t>
    </rPh>
    <rPh sb="62" eb="64">
      <t>キキ</t>
    </rPh>
    <rPh sb="65" eb="67">
      <t>キノウ</t>
    </rPh>
    <rPh sb="68" eb="69">
      <t>ワ</t>
    </rPh>
    <rPh sb="75" eb="76">
      <t>オヨ</t>
    </rPh>
    <rPh sb="79" eb="81">
      <t>キキ</t>
    </rPh>
    <rPh sb="82" eb="86">
      <t>カツヨウジョウキョウ</t>
    </rPh>
    <rPh sb="87" eb="88">
      <t>ワ</t>
    </rPh>
    <rPh sb="90" eb="92">
      <t>ブンショ</t>
    </rPh>
    <rPh sb="93" eb="95">
      <t>シャシン</t>
    </rPh>
    <rPh sb="95" eb="96">
      <t>ナド</t>
    </rPh>
    <phoneticPr fontId="1"/>
  </si>
  <si>
    <t>※１　職員間で情報の共有や更新を行うことができる機能を有すること</t>
    <rPh sb="3" eb="6">
      <t>ショクインカン</t>
    </rPh>
    <rPh sb="7" eb="9">
      <t>ジョウホウ</t>
    </rPh>
    <rPh sb="10" eb="12">
      <t>キョウユウ</t>
    </rPh>
    <rPh sb="13" eb="15">
      <t>コウシン</t>
    </rPh>
    <rPh sb="16" eb="17">
      <t>オコナ</t>
    </rPh>
    <rPh sb="24" eb="26">
      <t>キノウ</t>
    </rPh>
    <rPh sb="27" eb="28">
      <t>ユウ</t>
    </rPh>
    <phoneticPr fontId="1"/>
  </si>
  <si>
    <t>※２　ICTを介さない個別メール・アプリにより保護者との連絡を行っている場合を除く</t>
    <rPh sb="7" eb="8">
      <t>カイ</t>
    </rPh>
    <rPh sb="11" eb="13">
      <t>コベツ</t>
    </rPh>
    <rPh sb="23" eb="26">
      <t>ホゴシャ</t>
    </rPh>
    <rPh sb="28" eb="30">
      <t>レンラク</t>
    </rPh>
    <rPh sb="31" eb="32">
      <t>オコナ</t>
    </rPh>
    <rPh sb="36" eb="38">
      <t>バアイ</t>
    </rPh>
    <rPh sb="39" eb="40">
      <t>ノゾ</t>
    </rPh>
    <phoneticPr fontId="1"/>
  </si>
  <si>
    <t>※３　原則として加算年度の４月１日時点の「職員１人当たりの平均経験年数」で判断することとするが、年度の途中において職員の採用・異動等により本要件を満たす場合には、本要件を満たすこととなった日の属する月の翌月から加算を適用する。ただし、本要件だけが適合しなくなった場合には、当該年度中は条件を満たしているものとみなすこととする。</t>
    <rPh sb="3" eb="5">
      <t>ゲンソク</t>
    </rPh>
    <rPh sb="8" eb="12">
      <t>カサンネンド</t>
    </rPh>
    <rPh sb="14" eb="15">
      <t>ガツ</t>
    </rPh>
    <rPh sb="16" eb="17">
      <t>ニチ</t>
    </rPh>
    <rPh sb="17" eb="19">
      <t>ジテン</t>
    </rPh>
    <rPh sb="21" eb="23">
      <t>ショクイン</t>
    </rPh>
    <rPh sb="24" eb="25">
      <t>ニン</t>
    </rPh>
    <rPh sb="25" eb="26">
      <t>ア</t>
    </rPh>
    <rPh sb="29" eb="33">
      <t>ヘイキンケイケン</t>
    </rPh>
    <rPh sb="33" eb="35">
      <t>ネンスウ</t>
    </rPh>
    <rPh sb="37" eb="39">
      <t>ハンダン</t>
    </rPh>
    <rPh sb="48" eb="50">
      <t>ネンド</t>
    </rPh>
    <rPh sb="51" eb="53">
      <t>トチュウ</t>
    </rPh>
    <rPh sb="57" eb="59">
      <t>ショクイン</t>
    </rPh>
    <rPh sb="60" eb="62">
      <t>サイヨウ</t>
    </rPh>
    <rPh sb="63" eb="65">
      <t>イドウ</t>
    </rPh>
    <rPh sb="65" eb="66">
      <t>ナド</t>
    </rPh>
    <rPh sb="69" eb="72">
      <t>ホンヨウケン</t>
    </rPh>
    <rPh sb="73" eb="74">
      <t>ミ</t>
    </rPh>
    <rPh sb="76" eb="78">
      <t>バアイ</t>
    </rPh>
    <rPh sb="81" eb="84">
      <t>ホンヨウケン</t>
    </rPh>
    <rPh sb="85" eb="86">
      <t>ミ</t>
    </rPh>
    <rPh sb="94" eb="95">
      <t>ヒ</t>
    </rPh>
    <rPh sb="96" eb="97">
      <t>ゾク</t>
    </rPh>
    <rPh sb="99" eb="100">
      <t>ツキ</t>
    </rPh>
    <rPh sb="101" eb="103">
      <t>ヨクツキ</t>
    </rPh>
    <rPh sb="105" eb="107">
      <t>カサン</t>
    </rPh>
    <rPh sb="108" eb="110">
      <t>テキヨウ</t>
    </rPh>
    <rPh sb="117" eb="120">
      <t>ホンヨウケン</t>
    </rPh>
    <rPh sb="123" eb="125">
      <t>テキゴウ</t>
    </rPh>
    <rPh sb="131" eb="133">
      <t>バアイ</t>
    </rPh>
    <rPh sb="136" eb="138">
      <t>トウガイ</t>
    </rPh>
    <rPh sb="138" eb="141">
      <t>ネンドチュウ</t>
    </rPh>
    <rPh sb="142" eb="144">
      <t>ジョウケン</t>
    </rPh>
    <rPh sb="145" eb="146">
      <t>ミ</t>
    </rPh>
    <phoneticPr fontId="1"/>
  </si>
  <si>
    <t>1　処遇改善等加算</t>
    <rPh sb="2" eb="4">
      <t>ショグウ</t>
    </rPh>
    <rPh sb="4" eb="6">
      <t>カイゼン</t>
    </rPh>
    <rPh sb="6" eb="7">
      <t>トウ</t>
    </rPh>
    <rPh sb="7" eb="9">
      <t>カサン</t>
    </rPh>
    <phoneticPr fontId="1"/>
  </si>
  <si>
    <t>6　１歳児配置改善加算</t>
    <rPh sb="3" eb="5">
      <t>サイジ</t>
    </rPh>
    <rPh sb="5" eb="9">
      <t>ハイチカイゼン</t>
    </rPh>
    <rPh sb="9" eb="11">
      <t>カサン</t>
    </rPh>
    <phoneticPr fontId="1"/>
  </si>
  <si>
    <t>7　満3歳児配置改善加算</t>
    <rPh sb="2" eb="3">
      <t>マン</t>
    </rPh>
    <rPh sb="4" eb="6">
      <t>サイジ</t>
    </rPh>
    <rPh sb="6" eb="8">
      <t>ハイチ</t>
    </rPh>
    <rPh sb="8" eb="10">
      <t>カイゼン</t>
    </rPh>
    <rPh sb="10" eb="12">
      <t>カサン</t>
    </rPh>
    <phoneticPr fontId="1"/>
  </si>
  <si>
    <t>8　講師配置加算</t>
    <rPh sb="2" eb="4">
      <t>コウシ</t>
    </rPh>
    <rPh sb="4" eb="6">
      <t>ハイチ</t>
    </rPh>
    <rPh sb="6" eb="8">
      <t>カサン</t>
    </rPh>
    <phoneticPr fontId="1"/>
  </si>
  <si>
    <t>9　チーム保育加配加算</t>
    <rPh sb="5" eb="7">
      <t>ホイク</t>
    </rPh>
    <rPh sb="7" eb="9">
      <t>カハイ</t>
    </rPh>
    <rPh sb="9" eb="11">
      <t>カサン</t>
    </rPh>
    <phoneticPr fontId="1"/>
  </si>
  <si>
    <t>10　通園送迎加算</t>
    <rPh sb="3" eb="5">
      <t>ツウエン</t>
    </rPh>
    <rPh sb="5" eb="7">
      <t>ソウゲイ</t>
    </rPh>
    <rPh sb="7" eb="9">
      <t>カサン</t>
    </rPh>
    <phoneticPr fontId="1"/>
  </si>
  <si>
    <t>11　給食実施加算（１号）</t>
    <rPh sb="3" eb="5">
      <t>キュウショク</t>
    </rPh>
    <rPh sb="5" eb="7">
      <t>ジッシ</t>
    </rPh>
    <rPh sb="7" eb="9">
      <t>カサン</t>
    </rPh>
    <rPh sb="11" eb="12">
      <t>ゴウ</t>
    </rPh>
    <phoneticPr fontId="1"/>
  </si>
  <si>
    <t>12　副食費徴収免除加算（１号）</t>
    <rPh sb="3" eb="6">
      <t>フクショクヒ</t>
    </rPh>
    <rPh sb="6" eb="8">
      <t>チョウシュウ</t>
    </rPh>
    <rPh sb="8" eb="10">
      <t>メンジョ</t>
    </rPh>
    <rPh sb="10" eb="12">
      <t>カサン</t>
    </rPh>
    <rPh sb="14" eb="15">
      <t>ゴウ</t>
    </rPh>
    <phoneticPr fontId="1"/>
  </si>
  <si>
    <t>13　休日保育加算</t>
    <rPh sb="3" eb="5">
      <t>キュウジツ</t>
    </rPh>
    <rPh sb="5" eb="7">
      <t>ホイク</t>
    </rPh>
    <rPh sb="7" eb="9">
      <t>カサン</t>
    </rPh>
    <phoneticPr fontId="1"/>
  </si>
  <si>
    <t>15　減価償却費加算</t>
    <rPh sb="3" eb="5">
      <t>ゲンカ</t>
    </rPh>
    <rPh sb="5" eb="7">
      <t>ショウキャク</t>
    </rPh>
    <rPh sb="7" eb="8">
      <t>ヒ</t>
    </rPh>
    <rPh sb="8" eb="10">
      <t>カサン</t>
    </rPh>
    <phoneticPr fontId="1"/>
  </si>
  <si>
    <t>16　賃借料加算</t>
    <rPh sb="3" eb="6">
      <t>チンシャクリョウ</t>
    </rPh>
    <rPh sb="6" eb="8">
      <t>カサン</t>
    </rPh>
    <phoneticPr fontId="1"/>
  </si>
  <si>
    <t>17　副食費徴収免除加算（２号）</t>
    <rPh sb="3" eb="6">
      <t>フクショクヒ</t>
    </rPh>
    <rPh sb="6" eb="8">
      <t>チョウシュウ</t>
    </rPh>
    <rPh sb="8" eb="10">
      <t>メンジョ</t>
    </rPh>
    <rPh sb="10" eb="12">
      <t>カサン</t>
    </rPh>
    <rPh sb="14" eb="15">
      <t>ゴウ</t>
    </rPh>
    <phoneticPr fontId="1"/>
  </si>
  <si>
    <t>19　分園の場合</t>
    <rPh sb="3" eb="5">
      <t>ブンエン</t>
    </rPh>
    <rPh sb="6" eb="8">
      <t>バアイ</t>
    </rPh>
    <phoneticPr fontId="1"/>
  </si>
  <si>
    <t>20　土曜日に閉所する場合</t>
    <rPh sb="3" eb="6">
      <t>ドヨウビ</t>
    </rPh>
    <rPh sb="7" eb="9">
      <t>ヘイショ</t>
    </rPh>
    <rPh sb="11" eb="13">
      <t>バアイ</t>
    </rPh>
    <phoneticPr fontId="1"/>
  </si>
  <si>
    <t>21　主幹保育教諭等専任化未実施(1号)</t>
    <rPh sb="3" eb="5">
      <t>シュカン</t>
    </rPh>
    <rPh sb="5" eb="7">
      <t>ホイク</t>
    </rPh>
    <rPh sb="7" eb="9">
      <t>キョウユ</t>
    </rPh>
    <rPh sb="9" eb="10">
      <t>トウ</t>
    </rPh>
    <rPh sb="10" eb="12">
      <t>センニン</t>
    </rPh>
    <rPh sb="12" eb="13">
      <t>カ</t>
    </rPh>
    <rPh sb="13" eb="14">
      <t>ミ</t>
    </rPh>
    <rPh sb="14" eb="16">
      <t>ジッシ</t>
    </rPh>
    <rPh sb="18" eb="19">
      <t>ゴウ</t>
    </rPh>
    <phoneticPr fontId="1"/>
  </si>
  <si>
    <t>22　主幹保育教諭等専任化未実施(2・3号)</t>
    <rPh sb="3" eb="5">
      <t>シュカン</t>
    </rPh>
    <rPh sb="5" eb="7">
      <t>ホイク</t>
    </rPh>
    <rPh sb="7" eb="9">
      <t>キョウユ</t>
    </rPh>
    <rPh sb="9" eb="10">
      <t>トウ</t>
    </rPh>
    <rPh sb="10" eb="12">
      <t>センニン</t>
    </rPh>
    <rPh sb="12" eb="13">
      <t>カ</t>
    </rPh>
    <rPh sb="13" eb="14">
      <t>ミ</t>
    </rPh>
    <rPh sb="14" eb="16">
      <t>ジッシ</t>
    </rPh>
    <rPh sb="20" eb="21">
      <t>ゴウ</t>
    </rPh>
    <phoneticPr fontId="1"/>
  </si>
  <si>
    <t>23　年齢別配置基準を下回る場合</t>
    <rPh sb="3" eb="5">
      <t>ネンレイ</t>
    </rPh>
    <rPh sb="5" eb="6">
      <t>ベツ</t>
    </rPh>
    <rPh sb="6" eb="8">
      <t>ハイチ</t>
    </rPh>
    <rPh sb="8" eb="10">
      <t>キジュン</t>
    </rPh>
    <rPh sb="11" eb="13">
      <t>シタマワ</t>
    </rPh>
    <rPh sb="14" eb="16">
      <t>バアイ</t>
    </rPh>
    <phoneticPr fontId="1"/>
  </si>
  <si>
    <t>25　定員を恒常的に超過する場合（１号）</t>
    <rPh sb="3" eb="5">
      <t>テイイン</t>
    </rPh>
    <rPh sb="6" eb="9">
      <t>コウジョウテキ</t>
    </rPh>
    <rPh sb="10" eb="12">
      <t>チョウカ</t>
    </rPh>
    <rPh sb="14" eb="16">
      <t>バアイ</t>
    </rPh>
    <rPh sb="18" eb="19">
      <t>ゴウ</t>
    </rPh>
    <phoneticPr fontId="1"/>
  </si>
  <si>
    <t>26　定員を恒常的に超過する場合（２・３号）</t>
    <rPh sb="3" eb="5">
      <t>テイイン</t>
    </rPh>
    <rPh sb="6" eb="9">
      <t>コウジョウテキ</t>
    </rPh>
    <rPh sb="10" eb="12">
      <t>チョウカ</t>
    </rPh>
    <rPh sb="14" eb="16">
      <t>バアイ</t>
    </rPh>
    <rPh sb="20" eb="21">
      <t>ゴウ</t>
    </rPh>
    <phoneticPr fontId="1"/>
  </si>
  <si>
    <t>27　療育支援加算</t>
    <rPh sb="3" eb="5">
      <t>リョウイク</t>
    </rPh>
    <rPh sb="5" eb="7">
      <t>シエン</t>
    </rPh>
    <rPh sb="7" eb="9">
      <t>カサン</t>
    </rPh>
    <phoneticPr fontId="1"/>
  </si>
  <si>
    <t>28　事務職員配置加算</t>
    <rPh sb="3" eb="5">
      <t>ジム</t>
    </rPh>
    <rPh sb="5" eb="7">
      <t>ショクイン</t>
    </rPh>
    <rPh sb="7" eb="9">
      <t>ハイチ</t>
    </rPh>
    <rPh sb="9" eb="11">
      <t>カサン</t>
    </rPh>
    <phoneticPr fontId="1"/>
  </si>
  <si>
    <t>29　指導充実加配加算</t>
    <rPh sb="3" eb="5">
      <t>シドウ</t>
    </rPh>
    <rPh sb="5" eb="7">
      <t>ジュウジツ</t>
    </rPh>
    <rPh sb="7" eb="9">
      <t>カハイ</t>
    </rPh>
    <rPh sb="9" eb="11">
      <t>カサン</t>
    </rPh>
    <phoneticPr fontId="1"/>
  </si>
  <si>
    <t>30　事務負担対応加配加算</t>
    <rPh sb="3" eb="5">
      <t>ジム</t>
    </rPh>
    <rPh sb="5" eb="7">
      <t>フタン</t>
    </rPh>
    <rPh sb="7" eb="9">
      <t>タイオウ</t>
    </rPh>
    <rPh sb="9" eb="11">
      <t>カハイ</t>
    </rPh>
    <rPh sb="11" eb="13">
      <t>カサン</t>
    </rPh>
    <phoneticPr fontId="1"/>
  </si>
  <si>
    <t>31　栄養管理加算</t>
    <rPh sb="3" eb="5">
      <t>エイヨウ</t>
    </rPh>
    <rPh sb="5" eb="7">
      <t>カンリ</t>
    </rPh>
    <rPh sb="7" eb="9">
      <t>カサン</t>
    </rPh>
    <phoneticPr fontId="1"/>
  </si>
  <si>
    <t>食事の提供に当たり、栄養士又は管理栄養士（以下「栄養士等」という。）を活用してアレルギー、アトピー等への助言、食育等に関する継続的な指導を受けている</t>
    <rPh sb="0" eb="2">
      <t>ショクジ</t>
    </rPh>
    <rPh sb="3" eb="5">
      <t>テイキョウ</t>
    </rPh>
    <rPh sb="6" eb="7">
      <t>ア</t>
    </rPh>
    <rPh sb="10" eb="13">
      <t>エイヨウシ</t>
    </rPh>
    <rPh sb="13" eb="14">
      <t>マタ</t>
    </rPh>
    <rPh sb="15" eb="17">
      <t>カンリ</t>
    </rPh>
    <rPh sb="17" eb="20">
      <t>エイヨウシ</t>
    </rPh>
    <rPh sb="21" eb="23">
      <t>イカ</t>
    </rPh>
    <rPh sb="24" eb="28">
      <t>エイヨウシナド</t>
    </rPh>
    <rPh sb="35" eb="37">
      <t>カツヨウ</t>
    </rPh>
    <rPh sb="49" eb="50">
      <t>トウ</t>
    </rPh>
    <rPh sb="52" eb="54">
      <t>ジョゲン</t>
    </rPh>
    <rPh sb="55" eb="57">
      <t>ショクイク</t>
    </rPh>
    <rPh sb="57" eb="58">
      <t>トウ</t>
    </rPh>
    <rPh sb="59" eb="60">
      <t>カン</t>
    </rPh>
    <rPh sb="62" eb="65">
      <t>ケイゾクテキ</t>
    </rPh>
    <rPh sb="66" eb="68">
      <t>シドウ</t>
    </rPh>
    <rPh sb="69" eb="70">
      <t>ウ</t>
    </rPh>
    <phoneticPr fontId="1"/>
  </si>
  <si>
    <t>栄養士等を配置している(以下の①又は②のどちらかを選択※2)※1</t>
    <rPh sb="0" eb="3">
      <t>エイヨウシ</t>
    </rPh>
    <rPh sb="3" eb="4">
      <t>ナド</t>
    </rPh>
    <rPh sb="5" eb="7">
      <t>ハイチ</t>
    </rPh>
    <rPh sb="12" eb="14">
      <t>イカ</t>
    </rPh>
    <rPh sb="16" eb="17">
      <t>マタ</t>
    </rPh>
    <rPh sb="25" eb="27">
      <t>センタク</t>
    </rPh>
    <phoneticPr fontId="1"/>
  </si>
  <si>
    <t>②　栄養士等の資格証の写し</t>
    <rPh sb="2" eb="5">
      <t>エイヨウシ</t>
    </rPh>
    <rPh sb="5" eb="6">
      <t>ナド</t>
    </rPh>
    <rPh sb="7" eb="9">
      <t>シカク</t>
    </rPh>
    <rPh sb="9" eb="10">
      <t>ショウ</t>
    </rPh>
    <rPh sb="11" eb="12">
      <t>ウツ</t>
    </rPh>
    <phoneticPr fontId="1"/>
  </si>
  <si>
    <t>④　事業要件2‐②に該当する場合、栄養士等の活用・配置状況がわかる挙証書類</t>
    <rPh sb="2" eb="4">
      <t>ジギョウ</t>
    </rPh>
    <rPh sb="4" eb="6">
      <t>ヨウケン</t>
    </rPh>
    <rPh sb="10" eb="12">
      <t>ガイトウ</t>
    </rPh>
    <rPh sb="14" eb="16">
      <t>バアイ</t>
    </rPh>
    <rPh sb="17" eb="20">
      <t>エイヨウシ</t>
    </rPh>
    <rPh sb="20" eb="21">
      <t>ナド</t>
    </rPh>
    <rPh sb="22" eb="24">
      <t>カツヨウ</t>
    </rPh>
    <rPh sb="25" eb="27">
      <t>ハイチ</t>
    </rPh>
    <rPh sb="27" eb="29">
      <t>ジョウキョウ</t>
    </rPh>
    <rPh sb="33" eb="35">
      <t>キョショウ</t>
    </rPh>
    <rPh sb="35" eb="37">
      <t>ショルイ</t>
    </rPh>
    <phoneticPr fontId="1"/>
  </si>
  <si>
    <t>本加算に係る栄養士等が雇用契約等により配置されている場合（兼務に該当する場合を除く）</t>
    <rPh sb="0" eb="1">
      <t>ホン</t>
    </rPh>
    <rPh sb="1" eb="3">
      <t>カサン</t>
    </rPh>
    <rPh sb="4" eb="5">
      <t>カカ</t>
    </rPh>
    <rPh sb="6" eb="9">
      <t>エイヨウシ</t>
    </rPh>
    <rPh sb="9" eb="10">
      <t>ナド</t>
    </rPh>
    <rPh sb="11" eb="13">
      <t>コヨウ</t>
    </rPh>
    <rPh sb="13" eb="15">
      <t>ケイヤク</t>
    </rPh>
    <rPh sb="15" eb="16">
      <t>トウ</t>
    </rPh>
    <rPh sb="19" eb="21">
      <t>ハイチ</t>
    </rPh>
    <rPh sb="26" eb="28">
      <t>バアイ</t>
    </rPh>
    <rPh sb="29" eb="31">
      <t>ケンム</t>
    </rPh>
    <rPh sb="32" eb="34">
      <t>ガイトウ</t>
    </rPh>
    <rPh sb="36" eb="38">
      <t>バアイ</t>
    </rPh>
    <rPh sb="39" eb="40">
      <t>ノゾ</t>
    </rPh>
    <phoneticPr fontId="1"/>
  </si>
  <si>
    <t>基本分単価や他の加算の認定に当たって求められる職員が、本加算に係る栄養士等としての業務を兼務している場合</t>
    <rPh sb="0" eb="2">
      <t>キホン</t>
    </rPh>
    <rPh sb="2" eb="3">
      <t>ブン</t>
    </rPh>
    <rPh sb="3" eb="5">
      <t>タンカ</t>
    </rPh>
    <rPh sb="6" eb="7">
      <t>タ</t>
    </rPh>
    <rPh sb="8" eb="10">
      <t>カサン</t>
    </rPh>
    <rPh sb="11" eb="13">
      <t>ニンテイ</t>
    </rPh>
    <rPh sb="14" eb="15">
      <t>ア</t>
    </rPh>
    <rPh sb="18" eb="19">
      <t>モト</t>
    </rPh>
    <rPh sb="23" eb="25">
      <t>ショクイン</t>
    </rPh>
    <rPh sb="27" eb="28">
      <t>ホン</t>
    </rPh>
    <rPh sb="28" eb="30">
      <t>カサン</t>
    </rPh>
    <rPh sb="31" eb="32">
      <t>カカ</t>
    </rPh>
    <rPh sb="33" eb="36">
      <t>エイヨウシ</t>
    </rPh>
    <rPh sb="36" eb="37">
      <t>ナド</t>
    </rPh>
    <rPh sb="41" eb="43">
      <t>ギョウム</t>
    </rPh>
    <rPh sb="44" eb="46">
      <t>ケンム</t>
    </rPh>
    <rPh sb="50" eb="52">
      <t>バアイ</t>
    </rPh>
    <phoneticPr fontId="1"/>
  </si>
  <si>
    <t>上記以外で、本加算に係る栄養士等としての業務を嘱託等する場合</t>
    <rPh sb="0" eb="2">
      <t>ジョウキ</t>
    </rPh>
    <rPh sb="2" eb="4">
      <t>イガイ</t>
    </rPh>
    <rPh sb="6" eb="7">
      <t>ホン</t>
    </rPh>
    <rPh sb="7" eb="9">
      <t>カサン</t>
    </rPh>
    <rPh sb="10" eb="11">
      <t>カカ</t>
    </rPh>
    <rPh sb="12" eb="15">
      <t>エイヨウシ</t>
    </rPh>
    <rPh sb="15" eb="16">
      <t>ナド</t>
    </rPh>
    <rPh sb="20" eb="22">
      <t>ギョウム</t>
    </rPh>
    <rPh sb="23" eb="25">
      <t>ショクタク</t>
    </rPh>
    <rPh sb="25" eb="26">
      <t>トウ</t>
    </rPh>
    <rPh sb="28" eb="30">
      <t>バアイ</t>
    </rPh>
    <phoneticPr fontId="1"/>
  </si>
  <si>
    <t>災害等により、教育・保育が提供できない場合に、教育・保育を必要とするエッセンシャルワーカーである保護者に対する連絡、被災状況の把握、勤務状況に応じたこどもの預かりに関する相談及び代替保育先や預かり先の確保に向けた行政や関係機関との連携等を行うために必要となる緊急時の対応の具体的内容及び手順、職員の役割分担、避難訓練計画等に関するマニュアル等の整備並びに毎月１回程度の研修・訓練の実施等を行う取組を実施している</t>
    <rPh sb="0" eb="2">
      <t>サイガイ</t>
    </rPh>
    <rPh sb="2" eb="3">
      <t>ナド</t>
    </rPh>
    <rPh sb="7" eb="9">
      <t>キョウイク</t>
    </rPh>
    <rPh sb="10" eb="12">
      <t>ホイク</t>
    </rPh>
    <rPh sb="13" eb="15">
      <t>テイキョウ</t>
    </rPh>
    <rPh sb="19" eb="21">
      <t>バアイ</t>
    </rPh>
    <rPh sb="23" eb="25">
      <t>キョウイク</t>
    </rPh>
    <rPh sb="26" eb="28">
      <t>ホイク</t>
    </rPh>
    <rPh sb="29" eb="31">
      <t>ヒツヨウ</t>
    </rPh>
    <rPh sb="48" eb="51">
      <t>ホゴシャ</t>
    </rPh>
    <rPh sb="52" eb="53">
      <t>タイ</t>
    </rPh>
    <rPh sb="55" eb="57">
      <t>レンラク</t>
    </rPh>
    <rPh sb="58" eb="60">
      <t>ヒサイ</t>
    </rPh>
    <rPh sb="60" eb="62">
      <t>ジョウキョウ</t>
    </rPh>
    <rPh sb="63" eb="65">
      <t>ハアク</t>
    </rPh>
    <rPh sb="66" eb="70">
      <t>キンムジョウキョウ</t>
    </rPh>
    <rPh sb="71" eb="72">
      <t>オウ</t>
    </rPh>
    <rPh sb="78" eb="79">
      <t>アズ</t>
    </rPh>
    <rPh sb="82" eb="83">
      <t>カン</t>
    </rPh>
    <rPh sb="85" eb="87">
      <t>ソウダン</t>
    </rPh>
    <rPh sb="87" eb="88">
      <t>オヨ</t>
    </rPh>
    <rPh sb="89" eb="91">
      <t>ダイタイ</t>
    </rPh>
    <phoneticPr fontId="1"/>
  </si>
  <si>
    <t>⑤　事業要件のうち⑥に該当する場合は、該当していることを証明する緊急時の対応に関するマニュアル等、毎月１回程度の研修・訓練の実施等を行う取組を行っていることを証明する資料を添付すること。</t>
    <rPh sb="2" eb="6">
      <t>ジギョウヨウケン</t>
    </rPh>
    <rPh sb="11" eb="13">
      <t>ガイトウ</t>
    </rPh>
    <rPh sb="15" eb="17">
      <t>バアイ</t>
    </rPh>
    <rPh sb="19" eb="21">
      <t>ガイトウ</t>
    </rPh>
    <rPh sb="28" eb="30">
      <t>ショウメイ</t>
    </rPh>
    <rPh sb="32" eb="35">
      <t>キンキュウジ</t>
    </rPh>
    <rPh sb="36" eb="38">
      <t>タイオウ</t>
    </rPh>
    <rPh sb="39" eb="40">
      <t>カン</t>
    </rPh>
    <rPh sb="47" eb="48">
      <t>ナド</t>
    </rPh>
    <rPh sb="71" eb="72">
      <t>オコナ</t>
    </rPh>
    <rPh sb="79" eb="81">
      <t>ショウメイ</t>
    </rPh>
    <rPh sb="83" eb="85">
      <t>シリョウ</t>
    </rPh>
    <rPh sb="86" eb="88">
      <t>テンプ</t>
    </rPh>
    <phoneticPr fontId="1"/>
  </si>
  <si>
    <t>⑦</t>
    <phoneticPr fontId="1"/>
  </si>
  <si>
    <t>⑥　以下の(1)～(5)のいずれかが施設で実施されていることが分かる書面又はホームページの写し。園の掲示物の場合は掲示状況等がわかる説明文書及び写真を添付すること。
(1)　子育てサロン、子育て広場等の交流の場の提供
  年度内に実施が予定されている場合は、年度当初から実施されているものとみなす
(2)　子育て等に関する相談・援助
　園外の児童等も受け付けていることが明示されており、かつ、加算対象月初日から受付けていることが明示されていること
(3)　地域の子育て関連情報の提供
　園内及び園外向けの季刊誌等の発行を想定し、年に複数回発行を予定している場合は、年度当初から実施されているものとみなす。なお、園内向けの園だより等は不可
(4)　子育て及び子育て支援に関する講習等
　年度内に実施が予定されている場合は、年度当初から実施されているものとみなす
(5)　その他地域子育て支援活動と認められるもの
　事前に個別相談し認められた事業等。</t>
    <phoneticPr fontId="1"/>
  </si>
  <si>
    <t>⑤　事業要件のうち⑦に該当する場合は、該当していることを証明する緊急時の対応に関するマニュアル等、毎月１回程度の研修・訓練の実施等を行う取組を行っていることを証明する資料を添付すること。</t>
    <rPh sb="2" eb="6">
      <t>ジギョウヨウケン</t>
    </rPh>
    <rPh sb="11" eb="13">
      <t>ガイトウ</t>
    </rPh>
    <rPh sb="15" eb="17">
      <t>バアイ</t>
    </rPh>
    <rPh sb="19" eb="21">
      <t>ガイトウ</t>
    </rPh>
    <rPh sb="28" eb="30">
      <t>ショウメイ</t>
    </rPh>
    <rPh sb="32" eb="35">
      <t>キンキュウジ</t>
    </rPh>
    <rPh sb="36" eb="38">
      <t>タイオウ</t>
    </rPh>
    <rPh sb="39" eb="40">
      <t>カン</t>
    </rPh>
    <rPh sb="47" eb="48">
      <t>ナド</t>
    </rPh>
    <phoneticPr fontId="1"/>
  </si>
  <si>
    <t>栄養士等</t>
    <rPh sb="0" eb="3">
      <t>エイヨウシ</t>
    </rPh>
    <rPh sb="3" eb="4">
      <t>ナド</t>
    </rPh>
    <phoneticPr fontId="1"/>
  </si>
  <si>
    <t>栄養士等（委託）</t>
    <rPh sb="0" eb="3">
      <t>エイヨウシ</t>
    </rPh>
    <rPh sb="3" eb="4">
      <t>ナド</t>
    </rPh>
    <rPh sb="5" eb="7">
      <t>イタク</t>
    </rPh>
    <phoneticPr fontId="1"/>
  </si>
  <si>
    <t>③　「処遇改善等加算」と「３月のみ加算」は別途、所定の様式により申請を確認します。</t>
    <phoneticPr fontId="1"/>
  </si>
  <si>
    <t>幼認</t>
    <rPh sb="0" eb="2">
      <t>ヨウニン</t>
    </rPh>
    <phoneticPr fontId="1"/>
  </si>
  <si>
    <t>認定こども園藤幼稚園</t>
    <rPh sb="0" eb="2">
      <t>ニンテイ</t>
    </rPh>
    <rPh sb="5" eb="6">
      <t>エン</t>
    </rPh>
    <rPh sb="7" eb="10">
      <t>ヨウチエン</t>
    </rPh>
    <phoneticPr fontId="1"/>
  </si>
  <si>
    <t>認定こども園愛和えるむ保育園</t>
    <rPh sb="0" eb="2">
      <t>ニンテイ</t>
    </rPh>
    <rPh sb="5" eb="6">
      <t>エン</t>
    </rPh>
    <phoneticPr fontId="1"/>
  </si>
  <si>
    <t>認定こども園ピッコロ子ども倶楽部北大前保育所</t>
    <rPh sb="0" eb="2">
      <t>ニンテイ</t>
    </rPh>
    <rPh sb="5" eb="6">
      <t>エン</t>
    </rPh>
    <rPh sb="10" eb="11">
      <t>コ</t>
    </rPh>
    <rPh sb="13" eb="16">
      <t>クラブ</t>
    </rPh>
    <rPh sb="16" eb="18">
      <t>ホクダイ</t>
    </rPh>
    <rPh sb="18" eb="19">
      <t>マエ</t>
    </rPh>
    <rPh sb="19" eb="21">
      <t>ホイク</t>
    </rPh>
    <rPh sb="21" eb="22">
      <t>ショ</t>
    </rPh>
    <phoneticPr fontId="1"/>
  </si>
  <si>
    <t>新陽こども園</t>
    <rPh sb="0" eb="2">
      <t>シンヨウ</t>
    </rPh>
    <rPh sb="5" eb="6">
      <t>エン</t>
    </rPh>
    <phoneticPr fontId="1"/>
  </si>
  <si>
    <t>屯田南こども園</t>
    <rPh sb="6" eb="7">
      <t>エン</t>
    </rPh>
    <phoneticPr fontId="1"/>
  </si>
  <si>
    <t>幼保連携型認定こども園もえれ保育園</t>
    <rPh sb="0" eb="7">
      <t>ヨウホレンケイガタニンテイ</t>
    </rPh>
    <rPh sb="10" eb="11">
      <t>エン</t>
    </rPh>
    <rPh sb="14" eb="17">
      <t>ホイクエン</t>
    </rPh>
    <phoneticPr fontId="1"/>
  </si>
  <si>
    <t>認定こども園札幌あかしや幼稚園</t>
    <rPh sb="6" eb="8">
      <t>サッポロ</t>
    </rPh>
    <rPh sb="12" eb="15">
      <t>ヨウチエン</t>
    </rPh>
    <phoneticPr fontId="1"/>
  </si>
  <si>
    <t>明園保育園</t>
  </si>
  <si>
    <t>認定こども園はらっぱ保育園</t>
    <rPh sb="0" eb="2">
      <t>ニンテイ</t>
    </rPh>
    <rPh sb="5" eb="6">
      <t>エン</t>
    </rPh>
    <phoneticPr fontId="1"/>
  </si>
  <si>
    <t>認定こども園元町保育園</t>
    <rPh sb="0" eb="2">
      <t>ニンテイ</t>
    </rPh>
    <rPh sb="5" eb="6">
      <t>エン</t>
    </rPh>
    <phoneticPr fontId="1"/>
  </si>
  <si>
    <t>認定こども園愛和新穂保育園</t>
    <rPh sb="0" eb="2">
      <t>ニンテイ</t>
    </rPh>
    <rPh sb="5" eb="6">
      <t>エン</t>
    </rPh>
    <phoneticPr fontId="1"/>
  </si>
  <si>
    <t>認定こども園札幌愛隣舘第二</t>
    <rPh sb="0" eb="2">
      <t>ニンテイ</t>
    </rPh>
    <rPh sb="5" eb="6">
      <t>エン</t>
    </rPh>
    <phoneticPr fontId="1"/>
  </si>
  <si>
    <t>認定こども園南郷保育園</t>
    <rPh sb="0" eb="2">
      <t>ニンテイ</t>
    </rPh>
    <rPh sb="5" eb="6">
      <t>エン</t>
    </rPh>
    <phoneticPr fontId="1"/>
  </si>
  <si>
    <t>認定こども園きっずぱーく厚別保育園</t>
    <rPh sb="0" eb="2">
      <t>ニンテイ</t>
    </rPh>
    <rPh sb="5" eb="6">
      <t>エン</t>
    </rPh>
    <rPh sb="12" eb="14">
      <t>アツベツ</t>
    </rPh>
    <rPh sb="14" eb="17">
      <t>ホイクエン</t>
    </rPh>
    <phoneticPr fontId="1"/>
  </si>
  <si>
    <t>幼保連携型認定こども園なかのしま幼稚園</t>
    <rPh sb="0" eb="5">
      <t>ヨウホレンケイガタ</t>
    </rPh>
    <rPh sb="5" eb="7">
      <t>ニンテイ</t>
    </rPh>
    <rPh sb="10" eb="11">
      <t>エン</t>
    </rPh>
    <rPh sb="16" eb="19">
      <t>ヨウチエン</t>
    </rPh>
    <phoneticPr fontId="1"/>
  </si>
  <si>
    <t>認定こども園札幌若葉幼稚園</t>
    <rPh sb="0" eb="2">
      <t>ニンテイ</t>
    </rPh>
    <rPh sb="5" eb="13">
      <t>エンサッポロワカバヨウチエン</t>
    </rPh>
    <phoneticPr fontId="1"/>
  </si>
  <si>
    <t>認定こども園札幌第一幼稚園</t>
    <rPh sb="0" eb="2">
      <t>ニンテイ</t>
    </rPh>
    <rPh sb="5" eb="6">
      <t>エン</t>
    </rPh>
    <rPh sb="6" eb="8">
      <t>サッポロ</t>
    </rPh>
    <rPh sb="8" eb="10">
      <t>ダイイチ</t>
    </rPh>
    <rPh sb="10" eb="13">
      <t>ヨウチエン</t>
    </rPh>
    <phoneticPr fontId="1"/>
  </si>
  <si>
    <t>認定こども園札幌愛隣舘東山</t>
    <rPh sb="0" eb="2">
      <t>ニンテイ</t>
    </rPh>
    <rPh sb="5" eb="6">
      <t>エン</t>
    </rPh>
    <phoneticPr fontId="1"/>
  </si>
  <si>
    <t>認定こども園札幌愛隣舘りんご</t>
  </si>
  <si>
    <t>中の島興正こども園</t>
    <rPh sb="8" eb="9">
      <t>エン</t>
    </rPh>
    <phoneticPr fontId="1"/>
  </si>
  <si>
    <t>札幌北野保育園</t>
  </si>
  <si>
    <t>認定こども園緑ヶ丘保育園</t>
    <rPh sb="0" eb="2">
      <t>ニンテイ</t>
    </rPh>
    <rPh sb="5" eb="6">
      <t>エン</t>
    </rPh>
    <phoneticPr fontId="1"/>
  </si>
  <si>
    <t>光塩学園短期大学附属認定こども園</t>
    <rPh sb="0" eb="2">
      <t>コウエン</t>
    </rPh>
    <rPh sb="2" eb="4">
      <t>ガクエン</t>
    </rPh>
    <rPh sb="4" eb="6">
      <t>タンキ</t>
    </rPh>
    <rPh sb="6" eb="8">
      <t>ダイガク</t>
    </rPh>
    <rPh sb="8" eb="10">
      <t>フゾク</t>
    </rPh>
    <rPh sb="10" eb="12">
      <t>ニンテイ</t>
    </rPh>
    <rPh sb="15" eb="16">
      <t>エン</t>
    </rPh>
    <phoneticPr fontId="4"/>
  </si>
  <si>
    <t>真駒内保育園</t>
  </si>
  <si>
    <t>くまの子保育園</t>
  </si>
  <si>
    <t>幼保連携型認定こども園西野札幌幼稚園</t>
    <rPh sb="0" eb="2">
      <t>ヨウホ</t>
    </rPh>
    <rPh sb="2" eb="4">
      <t>レンケイ</t>
    </rPh>
    <rPh sb="4" eb="5">
      <t>ガタ</t>
    </rPh>
    <rPh sb="5" eb="7">
      <t>ニンテイ</t>
    </rPh>
    <rPh sb="10" eb="11">
      <t>エン</t>
    </rPh>
    <rPh sb="11" eb="13">
      <t>ニシノ</t>
    </rPh>
    <rPh sb="13" eb="15">
      <t>サッポロ</t>
    </rPh>
    <rPh sb="15" eb="18">
      <t>ヨウチエン</t>
    </rPh>
    <phoneticPr fontId="1"/>
  </si>
  <si>
    <t>発寒ひかり保育園</t>
  </si>
  <si>
    <t>認定こども園西野中央保育園</t>
  </si>
  <si>
    <t>認定こども園ことに保育園</t>
    <rPh sb="0" eb="2">
      <t>ニンテイ</t>
    </rPh>
    <rPh sb="5" eb="6">
      <t>エン</t>
    </rPh>
    <phoneticPr fontId="1"/>
  </si>
  <si>
    <t>認定こども園ピッコロ子ども倶楽部福井保育園</t>
    <rPh sb="0" eb="2">
      <t>ニンテイ</t>
    </rPh>
    <rPh sb="5" eb="6">
      <t>エン</t>
    </rPh>
    <phoneticPr fontId="1"/>
  </si>
  <si>
    <t>認定こども園スター保育園前田園</t>
    <rPh sb="0" eb="2">
      <t>ニンテイ</t>
    </rPh>
    <rPh sb="5" eb="6">
      <t>エン</t>
    </rPh>
    <phoneticPr fontId="1"/>
  </si>
  <si>
    <r>
      <rPr>
        <b/>
        <sz val="9"/>
        <color theme="1"/>
        <rFont val="ＭＳ Ｐゴシック"/>
        <family val="3"/>
        <charset val="128"/>
        <scheme val="minor"/>
      </rPr>
      <t>＜作成方法＞</t>
    </r>
    <r>
      <rPr>
        <sz val="9"/>
        <color theme="1"/>
        <rFont val="ＭＳ Ｐゴシック"/>
        <family val="3"/>
        <charset val="128"/>
        <scheme val="minor"/>
      </rPr>
      <t xml:space="preserve">
説明書きの「作成ソフト」及び「参考資料」を更新
</t>
    </r>
    <r>
      <rPr>
        <b/>
        <sz val="9"/>
        <color theme="1"/>
        <rFont val="ＭＳ Ｐゴシック"/>
        <family val="3"/>
        <charset val="128"/>
        <scheme val="minor"/>
      </rPr>
      <t xml:space="preserve">＜【様式１】総括表・個票＞
</t>
    </r>
    <r>
      <rPr>
        <sz val="9"/>
        <color theme="1"/>
        <rFont val="ＭＳ Ｐゴシック"/>
        <family val="3"/>
        <charset val="128"/>
        <scheme val="minor"/>
      </rPr>
      <t xml:space="preserve">「5 4歳以上児配置改善加算」
制度変更に伴い追加
「19 土曜日に閉所する場合」説明書き
「3月分については実績確認を行わない」削除
「20 主幹保育教諭等専任未実施（1号）」　
クラス担任を兼務していないことの確認欄追加
⑤ウ　２年以上のカリキュラムを編成・実施していることに変更
⑥　地方自治体に所属して幼児教育の専門的な知見や豊富な実践経験に基づき幼児教育に関する指導助言等を行う者と連携した園内研修の企画・実施について追加
「21主幹保育教諭等専任化未実施（2・3号）」内
クラス担任を兼務していないことの確認欄追加
乳児要件の緩和部分・挙証書類の添付に係る案内を追加
</t>
    </r>
    <r>
      <rPr>
        <b/>
        <sz val="9"/>
        <color theme="1"/>
        <rFont val="ＭＳ Ｐゴシック"/>
        <family val="3"/>
        <charset val="128"/>
        <scheme val="minor"/>
      </rPr>
      <t>〈【様式2】職員名簿〉</t>
    </r>
    <r>
      <rPr>
        <sz val="9"/>
        <color theme="1"/>
        <rFont val="ＭＳ Ｐゴシック"/>
        <family val="3"/>
        <charset val="128"/>
        <scheme val="minor"/>
      </rPr>
      <t xml:space="preserve">
職員氏名が重複した際にピンク色セルになるように書式変更
</t>
    </r>
    <r>
      <rPr>
        <b/>
        <sz val="9"/>
        <color theme="1"/>
        <rFont val="ＭＳ Ｐゴシック"/>
        <family val="3"/>
        <charset val="128"/>
        <scheme val="minor"/>
      </rPr>
      <t>〈【様式5】職員数算出表〉</t>
    </r>
    <r>
      <rPr>
        <sz val="9"/>
        <color theme="1"/>
        <rFont val="ＭＳ Ｐゴシック"/>
        <family val="3"/>
        <charset val="128"/>
        <scheme val="minor"/>
      </rPr>
      <t xml:space="preserve">
4歳以上児配置改善加算追加により「2 加算・減算・補助金等」及び「4 必須職員数」をそれぞれ更新
</t>
    </r>
    <r>
      <rPr>
        <b/>
        <sz val="9"/>
        <color theme="1"/>
        <rFont val="ＭＳ Ｐゴシック"/>
        <family val="3"/>
        <charset val="128"/>
        <scheme val="minor"/>
      </rPr>
      <t xml:space="preserve">〈【様式6】加算確認表〉
</t>
    </r>
    <r>
      <rPr>
        <sz val="9"/>
        <color theme="1"/>
        <rFont val="ＭＳ Ｐゴシック"/>
        <family val="3"/>
        <charset val="128"/>
        <scheme val="minor"/>
      </rPr>
      <t>4歳以上児配置改善加算追加</t>
    </r>
    <phoneticPr fontId="1"/>
  </si>
  <si>
    <r>
      <rPr>
        <b/>
        <sz val="9"/>
        <color theme="1"/>
        <rFont val="ＭＳ Ｐゴシック"/>
        <family val="3"/>
        <charset val="128"/>
        <scheme val="minor"/>
      </rPr>
      <t>＜【様式１】総括表・個票＞</t>
    </r>
    <r>
      <rPr>
        <sz val="9"/>
        <color theme="1"/>
        <rFont val="ＭＳ Ｐゴシック"/>
        <family val="3"/>
        <charset val="128"/>
        <scheme val="minor"/>
      </rPr>
      <t xml:space="preserve">
・１歳児配置改善加算を追加
・処遇改善等加算を一本化
・２・３号定員超過の見直しを反映
・栄養士を栄養士等に変更
・主任保育士等専任化加算の実施要件に要件を追加
</t>
    </r>
    <r>
      <rPr>
        <b/>
        <sz val="9"/>
        <color theme="1"/>
        <rFont val="ＭＳ Ｐゴシック"/>
        <family val="3"/>
        <charset val="128"/>
        <scheme val="minor"/>
      </rPr>
      <t>＜(別紙6)定員超過＞</t>
    </r>
    <r>
      <rPr>
        <sz val="9"/>
        <color theme="1"/>
        <rFont val="ＭＳ Ｐゴシック"/>
        <family val="3"/>
        <charset val="128"/>
        <scheme val="minor"/>
      </rPr>
      <t xml:space="preserve">
・２・３号定員超過の見直しを反映
</t>
    </r>
    <r>
      <rPr>
        <b/>
        <sz val="9"/>
        <color theme="1"/>
        <rFont val="ＭＳ Ｐゴシック"/>
        <family val="3"/>
        <charset val="128"/>
        <scheme val="minor"/>
      </rPr>
      <t>＜【様式2】職員名簿＞</t>
    </r>
    <r>
      <rPr>
        <sz val="9"/>
        <color theme="1"/>
        <rFont val="ＭＳ Ｐゴシック"/>
        <family val="3"/>
        <charset val="128"/>
        <scheme val="minor"/>
      </rPr>
      <t xml:space="preserve">
・栄養士を栄養士等に変更
</t>
    </r>
    <r>
      <rPr>
        <b/>
        <sz val="9"/>
        <color theme="1"/>
        <rFont val="ＭＳ Ｐゴシック"/>
        <family val="3"/>
        <charset val="128"/>
        <scheme val="minor"/>
      </rPr>
      <t>＜【様式５】職員数算出表＞</t>
    </r>
    <r>
      <rPr>
        <sz val="9"/>
        <color theme="1"/>
        <rFont val="ＭＳ Ｐゴシック"/>
        <family val="3"/>
        <charset val="128"/>
        <scheme val="minor"/>
      </rPr>
      <t xml:space="preserve">
・１歳児配置改善加算を追加
・栄養士を栄養士等に変更
</t>
    </r>
    <r>
      <rPr>
        <b/>
        <sz val="9"/>
        <color theme="1"/>
        <rFont val="ＭＳ Ｐゴシック"/>
        <family val="3"/>
        <charset val="128"/>
        <scheme val="minor"/>
      </rPr>
      <t>＜【様式6】加算確認表＞</t>
    </r>
    <r>
      <rPr>
        <sz val="9"/>
        <color theme="1"/>
        <rFont val="ＭＳ Ｐゴシック"/>
        <family val="3"/>
        <charset val="128"/>
        <scheme val="minor"/>
      </rPr>
      <t xml:space="preserve">
・１歳児配置改善加算を追加
・処遇改善等加算を一本化</t>
    </r>
    <phoneticPr fontId="1"/>
  </si>
  <si>
    <t>3月加算については、12月頃（締切は12月末）に3月加算用申請書を依頼いたします</t>
    <rPh sb="1" eb="2">
      <t>ガツ</t>
    </rPh>
    <rPh sb="2" eb="4">
      <t>カサン</t>
    </rPh>
    <rPh sb="12" eb="13">
      <t>ガツ</t>
    </rPh>
    <rPh sb="13" eb="14">
      <t>コロ</t>
    </rPh>
    <rPh sb="15" eb="17">
      <t>シメキリ</t>
    </rPh>
    <rPh sb="20" eb="21">
      <t>ガツ</t>
    </rPh>
    <rPh sb="21" eb="22">
      <t>スエ</t>
    </rPh>
    <rPh sb="25" eb="26">
      <t>ガツ</t>
    </rPh>
    <rPh sb="26" eb="28">
      <t>カサン</t>
    </rPh>
    <rPh sb="28" eb="29">
      <t>ヨウ</t>
    </rPh>
    <rPh sb="29" eb="32">
      <t>シンセイショ</t>
    </rPh>
    <rPh sb="33" eb="35">
      <t>イライ</t>
    </rPh>
    <phoneticPr fontId="1"/>
  </si>
  <si>
    <t xml:space="preserve"> ・　国通知「特定教育・保育等に要する費用の額の算定に関する基準等の改正に伴う実施上の留意事項について」（令和７年４月11日改正）
こども家庭庁HP：https://www.cfa.go.jp/policies/kokoseido/</t>
    <rPh sb="69" eb="72">
      <t>カテイチョウ</t>
    </rPh>
    <phoneticPr fontId="1"/>
  </si>
  <si>
    <r>
      <rPr>
        <b/>
        <sz val="9"/>
        <color rgb="FFFF0000"/>
        <rFont val="ＭＳ ゴシック"/>
        <family val="3"/>
        <charset val="128"/>
      </rPr>
      <t>←</t>
    </r>
    <r>
      <rPr>
        <b/>
        <sz val="9"/>
        <rFont val="ＭＳ ゴシック"/>
        <family val="3"/>
        <charset val="128"/>
      </rPr>
      <t>申請書（エクセル）の名前はこちらをコピーして使用してください。</t>
    </r>
    <rPh sb="1" eb="4">
      <t>シンセイショ</t>
    </rPh>
    <rPh sb="11" eb="13">
      <t>ナマエ</t>
    </rPh>
    <rPh sb="23" eb="25">
      <t>シヨウ</t>
    </rPh>
    <phoneticPr fontId="83"/>
  </si>
  <si>
    <t>③　以下いずれかの取り組みがわかる書類
・献立への助言（文責が栄養士等本人のものであるとわかるもの。作成した献立の月から年度を通じて加算適用）
・アレルギー、アトピーへの助言（栄養士等が行った面談記録票。面談を実施した月から年度を通じて加算適用。）
・食育計画書に基づいた継続的な指導（文責が栄養士等本人のものである食育計画書。年度を通して作成された計画書がある場合は、年度を通じて加算を適用。）
・食育だよりは不可。</t>
    <rPh sb="34" eb="35">
      <t>ナド</t>
    </rPh>
    <rPh sb="35" eb="37">
      <t>ホンニン</t>
    </rPh>
    <rPh sb="91" eb="92">
      <t>ナド</t>
    </rPh>
    <rPh sb="149" eb="150">
      <t>ナド</t>
    </rPh>
    <phoneticPr fontId="1"/>
  </si>
  <si>
    <t>【様式１】一歳児配置改善加算の要件１に保護した際のロックがかかっていなかった点を修正</t>
    <phoneticPr fontId="1"/>
  </si>
  <si>
    <t>【別添】シートの修正</t>
    <rPh sb="1" eb="3">
      <t>ベッテン</t>
    </rPh>
    <rPh sb="8" eb="10">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</si>
</sst>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176" formatCode="#&quot;人&quot;"/>
    <numFmt numFmtId="177" formatCode="#,##0.0&quot;人&quot;"/>
    <numFmt numFmtId="178" formatCode="#0.00&quot;時&quot;&quot;間&quot;"/>
    <numFmt numFmtId="179" formatCode="[$-F800]dddd\,\ mmmm\ dd\,\ yyyy"/>
    <numFmt numFmtId="180" formatCode="0.0"/>
    <numFmt numFmtId="181" formatCode="##&quot;月&quot;"/>
    <numFmt numFmtId="182" formatCode="#,##0&quot;時間&quot;"/>
    <numFmt numFmtId="183" formatCode="#,##0.0_ "/>
    <numFmt numFmtId="184" formatCode="#,##0&quot;人&quot;"/>
    <numFmt numFmtId="185" formatCode="#&quot;%&quot;"/>
    <numFmt numFmtId="186" formatCode="#,##0_ "/>
    <numFmt numFmtId="187" formatCode="#0&quot;人&quot;"/>
    <numFmt numFmtId="188" formatCode="0_);[Red]\(0\)"/>
    <numFmt numFmtId="189" formatCode="General&quot;年&quot;&quot;度&quot;"/>
    <numFmt numFmtId="190" formatCode="m&quot;月&quot;"/>
    <numFmt numFmtId="191" formatCode="yyyy&quot;年&quot;m&quot;月&quot;d&quot;日&quot;;@"/>
    <numFmt numFmtId="192" formatCode="##0&quot;歳児&quot;"/>
    <numFmt numFmtId="193" formatCode="0.0&quot;人&quot;"/>
    <numFmt numFmtId="194" formatCode="General&quot;月&quot;"/>
    <numFmt numFmtId="195" formatCode="General&quot;名&quot;"/>
    <numFmt numFmtId="196" formatCode="yyyy/m/d;@"/>
    <numFmt numFmtId="197" formatCode="##&quot;円&quot;"/>
    <numFmt numFmtId="198" formatCode="0.00_);[Red]\(0.00\)"/>
    <numFmt numFmtId="199" formatCode="&quot;＜&quot;yyyy&quot;年&quot;m&quot;月&quot;&quot;＞&quot;"/>
    <numFmt numFmtId="200" formatCode="&quot;第&quot;General&quot;土&quot;&quot;曜&quot;&quot;日&quot;"/>
    <numFmt numFmtId="201" formatCode="General&quot;日&quot;"/>
    <numFmt numFmtId="202" formatCode="\(General\)"/>
    <numFmt numFmtId="203" formatCode="#,##0.00&quot;人&quot;"/>
    <numFmt numFmtId="204" formatCode="#0&quot;日&quot;"/>
    <numFmt numFmtId="205" formatCode="General&quot;年&quot;"/>
    <numFmt numFmtId="206" formatCode="#&quot;月&quot;"/>
    <numFmt numFmtId="207" formatCode="#,##0&quot;人/年&quot;"/>
    <numFmt numFmtId="208" formatCode="General&quot;月&quot;&quot;超&quot;&quot;過&quot;"/>
    <numFmt numFmtId="209" formatCode="0.0_ "/>
    <numFmt numFmtId="210" formatCode="#0.00"/>
    <numFmt numFmtId="211" formatCode="#,##0_ ;[Red]\-#,##0\ "/>
    <numFmt numFmtId="212" formatCode="0.00_ "/>
    <numFmt numFmtId="213" formatCode="#0.00\※"/>
    <numFmt numFmtId="214" formatCode="&quot;1：&quot;General"/>
    <numFmt numFmtId="215" formatCode="0.0_);[Red]\(0.0\)"/>
    <numFmt numFmtId="216" formatCode="#0&quot;ケ月間&quot;"/>
    <numFmt numFmtId="217" formatCode="0.00_ ;[Red]\-0.00\ "/>
    <numFmt numFmtId="218" formatCode="[$-411]ggge&quot;年&quot;m&quot;月&quot;d&quot;日&quot;;@"/>
    <numFmt numFmtId="219" formatCode="0&quot;月&quot;"/>
  </numFmts>
  <fonts count="11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1"/>
      <color theme="1"/>
      <name val="ＭＳ Ｐゴシック"/>
      <family val="2"/>
      <charset val="128"/>
      <scheme val="minor"/>
    </font>
    <font>
      <b/>
      <sz val="12"/>
      <name val="ＭＳ Ｐゴシック"/>
      <family val="3"/>
      <charset val="128"/>
    </font>
    <font>
      <b/>
      <sz val="16"/>
      <color theme="1"/>
      <name val="ＭＳ Ｐゴシック"/>
      <family val="3"/>
      <charset val="128"/>
      <scheme val="minor"/>
    </font>
    <font>
      <sz val="10"/>
      <color theme="1"/>
      <name val="ＭＳ Ｐゴシック"/>
      <family val="2"/>
      <charset val="128"/>
      <scheme val="minor"/>
    </font>
    <font>
      <sz val="16"/>
      <color theme="1"/>
      <name val="ＭＳ Ｐゴシック"/>
      <family val="3"/>
      <charset val="128"/>
      <scheme val="minor"/>
    </font>
    <font>
      <sz val="10"/>
      <color theme="1"/>
      <name val="ＭＳ Ｐゴシック"/>
      <family val="3"/>
      <charset val="128"/>
      <scheme val="minor"/>
    </font>
    <font>
      <sz val="10"/>
      <name val="ＭＳ 明朝"/>
      <family val="1"/>
      <charset val="128"/>
    </font>
    <font>
      <sz val="12"/>
      <name val="明朝"/>
      <family val="3"/>
      <charset val="128"/>
    </font>
    <font>
      <sz val="10"/>
      <name val="ＭＳ ゴシック"/>
      <family val="3"/>
      <charset val="128"/>
    </font>
    <font>
      <sz val="16"/>
      <color theme="1"/>
      <name val="ＭＳ Ｐゴシック"/>
      <family val="2"/>
      <charset val="128"/>
      <scheme val="minor"/>
    </font>
    <font>
      <b/>
      <sz val="10"/>
      <name val="ＭＳ 明朝"/>
      <family val="1"/>
      <charset val="128"/>
    </font>
    <font>
      <b/>
      <sz val="10"/>
      <name val="ＭＳ ゴシック"/>
      <family val="3"/>
      <charset val="128"/>
    </font>
    <font>
      <sz val="10"/>
      <name val="ＭＳ Ｐゴシック"/>
      <family val="3"/>
      <charset val="128"/>
      <scheme val="minor"/>
    </font>
    <font>
      <sz val="9"/>
      <color indexed="8"/>
      <name val="ＭＳ ゴシック"/>
      <family val="3"/>
      <charset val="128"/>
    </font>
    <font>
      <sz val="9"/>
      <name val="ＭＳ ゴシック"/>
      <family val="3"/>
      <charset val="128"/>
    </font>
    <font>
      <sz val="9"/>
      <color theme="1"/>
      <name val="ＭＳ Ｐゴシック"/>
      <family val="3"/>
      <charset val="128"/>
    </font>
    <font>
      <b/>
      <sz val="9"/>
      <color indexed="8"/>
      <name val="ＭＳ ゴシック"/>
      <family val="3"/>
      <charset val="128"/>
    </font>
    <font>
      <sz val="9"/>
      <color indexed="10"/>
      <name val="ＭＳ ゴシック"/>
      <family val="3"/>
      <charset val="128"/>
    </font>
    <font>
      <sz val="9"/>
      <color theme="1"/>
      <name val="ＭＳ ゴシック"/>
      <family val="3"/>
      <charset val="128"/>
    </font>
    <font>
      <sz val="10"/>
      <color rgb="FFFF0000"/>
      <name val="ＭＳ 明朝"/>
      <family val="1"/>
      <charset val="128"/>
    </font>
    <font>
      <sz val="16"/>
      <name val="ＭＳ 明朝"/>
      <family val="1"/>
      <charset val="128"/>
    </font>
    <font>
      <sz val="24"/>
      <name val="ＭＳ Ｐゴシック"/>
      <family val="3"/>
      <charset val="128"/>
    </font>
    <font>
      <sz val="12"/>
      <color rgb="FFFF0000"/>
      <name val="ＭＳ Ｐゴシック"/>
      <family val="3"/>
      <charset val="128"/>
    </font>
    <font>
      <sz val="10"/>
      <color theme="1"/>
      <name val="ＭＳ 明朝"/>
      <family val="1"/>
      <charset val="128"/>
    </font>
    <font>
      <sz val="10"/>
      <color rgb="FF0070C0"/>
      <name val="ＭＳ 明朝"/>
      <family val="1"/>
      <charset val="128"/>
    </font>
    <font>
      <sz val="10"/>
      <name val="ＭＳ Ｐ明朝"/>
      <family val="1"/>
      <charset val="128"/>
    </font>
    <font>
      <b/>
      <sz val="10"/>
      <name val="ＭＳ Ｐゴシック"/>
      <family val="3"/>
      <charset val="128"/>
      <scheme val="minor"/>
    </font>
    <font>
      <strike/>
      <sz val="10"/>
      <name val="ＭＳ 明朝"/>
      <family val="1"/>
      <charset val="128"/>
    </font>
    <font>
      <sz val="10"/>
      <color rgb="FFFF0000"/>
      <name val="ＭＳ Ｐゴシック"/>
      <family val="2"/>
      <charset val="128"/>
      <scheme val="minor"/>
    </font>
    <font>
      <b/>
      <sz val="12"/>
      <name val="ＭＳ ゴシック"/>
      <family val="3"/>
      <charset val="128"/>
    </font>
    <font>
      <sz val="9"/>
      <name val="ＭＳ 明朝"/>
      <family val="1"/>
      <charset val="128"/>
    </font>
    <font>
      <sz val="8"/>
      <name val="ＭＳ 明朝"/>
      <family val="1"/>
      <charset val="128"/>
    </font>
    <font>
      <b/>
      <sz val="10"/>
      <color theme="1"/>
      <name val="ＭＳ Ｐゴシック"/>
      <family val="3"/>
      <charset val="128"/>
      <scheme val="minor"/>
    </font>
    <font>
      <sz val="10"/>
      <color theme="1"/>
      <name val="ＭＳ ゴシック"/>
      <family val="3"/>
      <charset val="128"/>
    </font>
    <font>
      <b/>
      <sz val="10"/>
      <name val="ＭＳ Ｐゴシック"/>
      <family val="3"/>
      <charset val="128"/>
    </font>
    <font>
      <sz val="6"/>
      <name val="ＭＳ 明朝"/>
      <family val="1"/>
      <charset val="128"/>
    </font>
    <font>
      <b/>
      <sz val="22"/>
      <color theme="1"/>
      <name val="ＭＳ Ｐゴシック"/>
      <family val="3"/>
      <charset val="128"/>
      <scheme val="minor"/>
    </font>
    <font>
      <sz val="16"/>
      <color theme="1"/>
      <name val="ＭＳ 明朝"/>
      <family val="1"/>
      <charset val="128"/>
    </font>
    <font>
      <sz val="11"/>
      <color theme="1"/>
      <name val="ＭＳ 明朝"/>
      <family val="1"/>
      <charset val="128"/>
    </font>
    <font>
      <sz val="9"/>
      <color theme="1"/>
      <name val="ＭＳ 明朝"/>
      <family val="1"/>
      <charset val="128"/>
    </font>
    <font>
      <sz val="11"/>
      <color rgb="FFFF0000"/>
      <name val="ＭＳ 明朝"/>
      <family val="1"/>
      <charset val="128"/>
    </font>
    <font>
      <sz val="14"/>
      <name val="ＭＳ 明朝"/>
      <family val="1"/>
      <charset val="128"/>
    </font>
    <font>
      <sz val="14"/>
      <color rgb="FFFF0000"/>
      <name val="ＭＳ 明朝"/>
      <family val="1"/>
      <charset val="128"/>
    </font>
    <font>
      <b/>
      <sz val="10"/>
      <color theme="1"/>
      <name val="ＭＳ ゴシック"/>
      <family val="3"/>
      <charset val="128"/>
    </font>
    <font>
      <b/>
      <u/>
      <sz val="10"/>
      <color rgb="FFFF0000"/>
      <name val="ＭＳ 明朝"/>
      <family val="1"/>
      <charset val="128"/>
    </font>
    <font>
      <b/>
      <sz val="10"/>
      <color theme="1"/>
      <name val="ＭＳ 明朝"/>
      <family val="1"/>
      <charset val="128"/>
    </font>
    <font>
      <b/>
      <sz val="14"/>
      <name val="ＭＳ ゴシック"/>
      <family val="3"/>
      <charset val="128"/>
    </font>
    <font>
      <sz val="14"/>
      <color theme="1"/>
      <name val="ＭＳ 明朝"/>
      <family val="1"/>
      <charset val="128"/>
    </font>
    <font>
      <b/>
      <sz val="14"/>
      <color theme="1"/>
      <name val="ＭＳ ゴシック"/>
      <family val="3"/>
      <charset val="128"/>
    </font>
    <font>
      <u/>
      <sz val="14"/>
      <color theme="1"/>
      <name val="ＭＳ 明朝"/>
      <family val="1"/>
      <charset val="128"/>
    </font>
    <font>
      <b/>
      <sz val="12"/>
      <name val="ＭＳ 明朝"/>
      <family val="1"/>
      <charset val="128"/>
    </font>
    <font>
      <sz val="11"/>
      <name val="ＭＳ 明朝"/>
      <family val="1"/>
      <charset val="128"/>
    </font>
    <font>
      <b/>
      <sz val="12"/>
      <color theme="1"/>
      <name val="ＭＳ 明朝"/>
      <family val="1"/>
      <charset val="128"/>
    </font>
    <font>
      <b/>
      <sz val="10"/>
      <color rgb="FFFF0000"/>
      <name val="ＭＳ 明朝"/>
      <family val="1"/>
      <charset val="128"/>
    </font>
    <font>
      <sz val="6"/>
      <color theme="1"/>
      <name val="ＭＳ 明朝"/>
      <family val="1"/>
      <charset val="128"/>
    </font>
    <font>
      <b/>
      <sz val="6"/>
      <color theme="1"/>
      <name val="ＭＳ 明朝"/>
      <family val="1"/>
      <charset val="128"/>
    </font>
    <font>
      <sz val="8"/>
      <color theme="1"/>
      <name val="ＭＳ 明朝"/>
      <family val="1"/>
      <charset val="128"/>
    </font>
    <font>
      <b/>
      <sz val="6"/>
      <name val="ＭＳ 明朝"/>
      <family val="1"/>
      <charset val="128"/>
    </font>
    <font>
      <sz val="12"/>
      <name val="ＭＳ 明朝"/>
      <family val="1"/>
      <charset val="128"/>
    </font>
    <font>
      <sz val="12"/>
      <color rgb="FFFF0000"/>
      <name val="ＭＳ 明朝"/>
      <family val="1"/>
      <charset val="128"/>
    </font>
    <font>
      <b/>
      <sz val="12"/>
      <color rgb="FFFF0000"/>
      <name val="ＭＳ 明朝"/>
      <family val="1"/>
      <charset val="128"/>
    </font>
    <font>
      <b/>
      <u/>
      <sz val="10"/>
      <name val="ＭＳ 明朝"/>
      <family val="1"/>
      <charset val="128"/>
    </font>
    <font>
      <b/>
      <sz val="11"/>
      <name val="ＭＳ ゴシック"/>
      <family val="3"/>
      <charset val="128"/>
    </font>
    <font>
      <b/>
      <sz val="11"/>
      <name val="ＭＳ 明朝"/>
      <family val="1"/>
      <charset val="128"/>
    </font>
    <font>
      <b/>
      <sz val="11"/>
      <color theme="1"/>
      <name val="ＭＳ 明朝"/>
      <family val="1"/>
      <charset val="128"/>
    </font>
    <font>
      <sz val="9"/>
      <color theme="1"/>
      <name val="ＭＳ Ｐゴシック"/>
      <family val="3"/>
      <charset val="128"/>
      <scheme val="minor"/>
    </font>
    <font>
      <b/>
      <sz val="8"/>
      <name val="ＭＳ Ｐゴシック"/>
      <family val="3"/>
      <charset val="128"/>
      <scheme val="minor"/>
    </font>
    <font>
      <b/>
      <sz val="14"/>
      <color theme="1"/>
      <name val="ＭＳ 明朝"/>
      <family val="1"/>
      <charset val="128"/>
    </font>
    <font>
      <sz val="10"/>
      <name val="ＭＳ Ｐゴシック"/>
      <family val="2"/>
      <charset val="128"/>
      <scheme val="minor"/>
    </font>
    <font>
      <b/>
      <sz val="10"/>
      <color rgb="FFFF0000"/>
      <name val="ＭＳ Ｐゴシック"/>
      <family val="3"/>
      <charset val="128"/>
    </font>
    <font>
      <sz val="9"/>
      <color theme="1"/>
      <name val="ＭＳ Ｐゴシック"/>
      <family val="2"/>
      <charset val="128"/>
      <scheme val="minor"/>
    </font>
    <font>
      <sz val="9"/>
      <color rgb="FFFF0000"/>
      <name val="ＭＳ 明朝"/>
      <family val="1"/>
      <charset val="128"/>
    </font>
    <font>
      <sz val="11"/>
      <color rgb="FF0070C0"/>
      <name val="ＭＳ Ｐゴシック"/>
      <family val="3"/>
      <charset val="128"/>
    </font>
    <font>
      <sz val="11"/>
      <color theme="1"/>
      <name val="ＭＳ Ｐゴシック"/>
      <family val="2"/>
      <scheme val="minor"/>
    </font>
    <font>
      <sz val="12"/>
      <name val="ＭＳ ゴシック"/>
      <family val="3"/>
      <charset val="128"/>
    </font>
    <font>
      <b/>
      <sz val="14"/>
      <color rgb="FFFF0000"/>
      <name val="ＭＳ Ｐゴシック"/>
      <family val="3"/>
      <charset val="128"/>
    </font>
    <font>
      <sz val="6"/>
      <name val="ＭＳ Ｐゴシック"/>
      <family val="3"/>
      <charset val="128"/>
      <scheme val="minor"/>
    </font>
    <font>
      <sz val="12"/>
      <name val="ＭＳ Ｐゴシック"/>
      <family val="2"/>
      <scheme val="minor"/>
    </font>
    <font>
      <u/>
      <sz val="11"/>
      <color theme="10"/>
      <name val="ＭＳ Ｐゴシック"/>
      <family val="2"/>
      <charset val="128"/>
      <scheme val="minor"/>
    </font>
    <font>
      <u/>
      <sz val="12"/>
      <color theme="10"/>
      <name val="ＭＳ Ｐゴシック"/>
      <family val="2"/>
      <charset val="128"/>
      <scheme val="minor"/>
    </font>
    <font>
      <sz val="12"/>
      <color theme="1"/>
      <name val="ＭＳ Ｐゴシック"/>
      <family val="2"/>
      <scheme val="minor"/>
    </font>
    <font>
      <b/>
      <sz val="12"/>
      <color rgb="FFFF0000"/>
      <name val="ＭＳ ゴシック"/>
      <family val="3"/>
      <charset val="128"/>
    </font>
    <font>
      <sz val="12"/>
      <color rgb="FFFF0000"/>
      <name val="ＭＳ ゴシック"/>
      <family val="3"/>
      <charset val="128"/>
    </font>
    <font>
      <sz val="11"/>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name val="ＭＳ ゴシック"/>
      <family val="3"/>
      <charset val="128"/>
    </font>
    <font>
      <sz val="14"/>
      <color theme="1"/>
      <name val="ＭＳ Ｐゴシック"/>
      <family val="2"/>
      <scheme val="minor"/>
    </font>
    <font>
      <sz val="14"/>
      <color theme="1"/>
      <name val="ＭＳ Ｐゴシック"/>
      <family val="3"/>
      <charset val="128"/>
      <scheme val="minor"/>
    </font>
    <font>
      <b/>
      <sz val="8"/>
      <color rgb="FFFF0000"/>
      <name val="ＭＳ 明朝"/>
      <family val="1"/>
      <charset val="128"/>
    </font>
    <font>
      <b/>
      <sz val="10"/>
      <color rgb="FFFF0000"/>
      <name val="ＭＳ Ｐゴシック"/>
      <family val="2"/>
      <charset val="128"/>
      <scheme val="minor"/>
    </font>
    <font>
      <sz val="12"/>
      <color theme="1"/>
      <name val="ＭＳ Ｐゴシック"/>
      <family val="2"/>
      <charset val="128"/>
      <scheme val="minor"/>
    </font>
    <font>
      <b/>
      <sz val="11"/>
      <name val="ＭＳ Ｐゴシック"/>
      <family val="3"/>
      <charset val="128"/>
      <scheme val="minor"/>
    </font>
    <font>
      <b/>
      <u/>
      <sz val="14"/>
      <color theme="10"/>
      <name val="ＭＳ Ｐゴシック"/>
      <family val="3"/>
      <charset val="128"/>
      <scheme val="minor"/>
    </font>
    <font>
      <sz val="11"/>
      <name val="ＭＳ Ｐゴシック"/>
      <family val="2"/>
      <scheme val="minor"/>
    </font>
    <font>
      <sz val="14"/>
      <name val="ＭＳ ゴシック"/>
      <family val="3"/>
      <charset val="128"/>
    </font>
    <font>
      <b/>
      <sz val="11"/>
      <color rgb="FFFF0000"/>
      <name val="ＭＳ Ｐゴシック"/>
      <family val="3"/>
      <charset val="128"/>
    </font>
    <font>
      <b/>
      <sz val="11"/>
      <color theme="1"/>
      <name val="ＭＳ Ｐゴシック"/>
      <family val="3"/>
      <charset val="128"/>
      <scheme val="minor"/>
    </font>
    <font>
      <b/>
      <sz val="11"/>
      <color rgb="FFFFFF00"/>
      <name val="ＭＳ Ｐゴシック"/>
      <family val="3"/>
      <charset val="128"/>
      <scheme val="minor"/>
    </font>
    <font>
      <b/>
      <sz val="9"/>
      <color theme="1"/>
      <name val="ＭＳ Ｐゴシック"/>
      <family val="3"/>
      <charset val="128"/>
      <scheme val="minor"/>
    </font>
    <font>
      <sz val="11"/>
      <name val="ＭＳ Ｐゴシック"/>
      <family val="3"/>
      <charset val="128"/>
      <scheme val="minor"/>
    </font>
    <font>
      <b/>
      <sz val="9"/>
      <name val="ＭＳ ゴシック"/>
      <family val="3"/>
      <charset val="128"/>
    </font>
    <font>
      <b/>
      <sz val="9"/>
      <color rgb="FFFF0000"/>
      <name val="ＭＳ ゴシック"/>
      <family val="3"/>
      <charset val="128"/>
    </font>
  </fonts>
  <fills count="2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27"/>
        <bgColor indexed="64"/>
      </patternFill>
    </fill>
    <fill>
      <patternFill patternType="solid">
        <fgColor indexed="9"/>
        <bgColor indexed="64"/>
      </patternFill>
    </fill>
    <fill>
      <patternFill patternType="solid">
        <fgColor indexed="45"/>
        <bgColor indexed="64"/>
      </patternFill>
    </fill>
    <fill>
      <patternFill patternType="solid">
        <fgColor indexed="43"/>
        <bgColor indexed="64"/>
      </patternFill>
    </fill>
    <fill>
      <patternFill patternType="solid">
        <fgColor indexed="22"/>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0625">
        <bgColor theme="0"/>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1"/>
        <bgColor indexed="64"/>
      </patternFill>
    </fill>
    <fill>
      <patternFill patternType="solid">
        <fgColor rgb="FFFFC000"/>
        <bgColor indexed="64"/>
      </patternFill>
    </fill>
  </fills>
  <borders count="575">
    <border>
      <left/>
      <right/>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top/>
      <bottom style="double">
        <color indexed="64"/>
      </bottom>
      <diagonal/>
    </border>
    <border>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auto="1"/>
      </left>
      <right style="double">
        <color auto="1"/>
      </right>
      <top style="medium">
        <color auto="1"/>
      </top>
      <bottom/>
      <diagonal/>
    </border>
    <border>
      <left style="medium">
        <color auto="1"/>
      </left>
      <right style="double">
        <color auto="1"/>
      </right>
      <top/>
      <bottom/>
      <diagonal/>
    </border>
    <border>
      <left style="thin">
        <color auto="1"/>
      </left>
      <right style="thin">
        <color auto="1"/>
      </right>
      <top/>
      <bottom style="medium">
        <color auto="1"/>
      </bottom>
      <diagonal/>
    </border>
    <border>
      <left style="double">
        <color auto="1"/>
      </left>
      <right/>
      <top/>
      <bottom/>
      <diagonal/>
    </border>
    <border>
      <left style="dotted">
        <color auto="1"/>
      </left>
      <right style="thin">
        <color indexed="64"/>
      </right>
      <top style="thin">
        <color auto="1"/>
      </top>
      <bottom style="medium">
        <color indexed="64"/>
      </bottom>
      <diagonal/>
    </border>
    <border>
      <left style="thin">
        <color auto="1"/>
      </left>
      <right style="dotted">
        <color auto="1"/>
      </right>
      <top style="thin">
        <color auto="1"/>
      </top>
      <bottom style="medium">
        <color auto="1"/>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medium">
        <color indexed="64"/>
      </left>
      <right style="medium">
        <color indexed="64"/>
      </right>
      <top/>
      <bottom style="double">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auto="1"/>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8"/>
      </top>
      <bottom/>
      <diagonal/>
    </border>
    <border>
      <left style="double">
        <color indexed="64"/>
      </left>
      <right style="double">
        <color indexed="64"/>
      </right>
      <top style="double">
        <color indexed="64"/>
      </top>
      <bottom style="double">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diagonalUp="1">
      <left/>
      <right style="medium">
        <color indexed="64"/>
      </right>
      <top style="thin">
        <color indexed="64"/>
      </top>
      <bottom style="thin">
        <color indexed="64"/>
      </bottom>
      <diagonal style="thin">
        <color indexed="64"/>
      </diagonal>
    </border>
    <border>
      <left/>
      <right/>
      <top style="thin">
        <color theme="1"/>
      </top>
      <bottom style="thin">
        <color theme="1"/>
      </bottom>
      <diagonal/>
    </border>
    <border>
      <left/>
      <right style="thin">
        <color indexed="64"/>
      </right>
      <top style="thin">
        <color theme="1"/>
      </top>
      <bottom style="thin">
        <color theme="1"/>
      </bottom>
      <diagonal/>
    </border>
    <border>
      <left/>
      <right/>
      <top style="thin">
        <color theme="1"/>
      </top>
      <bottom/>
      <diagonal/>
    </border>
    <border>
      <left/>
      <right style="thin">
        <color indexed="64"/>
      </right>
      <top style="thin">
        <color theme="1"/>
      </top>
      <bottom/>
      <diagonal/>
    </border>
    <border>
      <left/>
      <right style="thin">
        <color theme="1"/>
      </right>
      <top style="thin">
        <color indexed="64"/>
      </top>
      <bottom/>
      <diagonal/>
    </border>
    <border>
      <left style="thin">
        <color indexed="64"/>
      </left>
      <right style="thin">
        <color theme="1"/>
      </right>
      <top style="dotted">
        <color indexed="64"/>
      </top>
      <bottom style="hair">
        <color indexed="64"/>
      </bottom>
      <diagonal/>
    </border>
    <border>
      <left style="thin">
        <color theme="1"/>
      </left>
      <right style="thin">
        <color indexed="64"/>
      </right>
      <top style="dotted">
        <color indexed="64"/>
      </top>
      <bottom style="hair">
        <color indexed="64"/>
      </bottom>
      <diagonal/>
    </border>
    <border>
      <left style="thin">
        <color indexed="64"/>
      </left>
      <right style="thin">
        <color theme="1"/>
      </right>
      <top style="hair">
        <color indexed="64"/>
      </top>
      <bottom style="dotted">
        <color indexed="64"/>
      </bottom>
      <diagonal/>
    </border>
    <border>
      <left style="thin">
        <color theme="1"/>
      </left>
      <right style="thin">
        <color indexed="64"/>
      </right>
      <top style="hair">
        <color indexed="64"/>
      </top>
      <bottom style="dotted">
        <color indexed="64"/>
      </bottom>
      <diagonal/>
    </border>
    <border>
      <left style="thin">
        <color indexed="64"/>
      </left>
      <right style="thin">
        <color theme="1"/>
      </right>
      <top/>
      <bottom style="hair">
        <color indexed="64"/>
      </bottom>
      <diagonal/>
    </border>
    <border>
      <left style="thin">
        <color theme="1"/>
      </left>
      <right style="thin">
        <color indexed="64"/>
      </right>
      <top/>
      <bottom style="hair">
        <color indexed="64"/>
      </bottom>
      <diagonal/>
    </border>
    <border>
      <left style="thin">
        <color indexed="64"/>
      </left>
      <right style="thin">
        <color theme="1"/>
      </right>
      <top style="hair">
        <color indexed="64"/>
      </top>
      <bottom/>
      <diagonal/>
    </border>
    <border>
      <left style="thin">
        <color theme="1"/>
      </left>
      <right style="thin">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dotted">
        <color indexed="64"/>
      </top>
      <bottom style="thin">
        <color indexed="64"/>
      </bottom>
      <diagonal/>
    </border>
    <border>
      <left/>
      <right style="dotted">
        <color indexed="64"/>
      </right>
      <top/>
      <bottom style="medium">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theme="1"/>
      </right>
      <top/>
      <bottom/>
      <diagonal/>
    </border>
    <border>
      <left style="thin">
        <color theme="1"/>
      </left>
      <right style="thin">
        <color indexed="64"/>
      </right>
      <top/>
      <bottom/>
      <diagonal/>
    </border>
    <border>
      <left style="hair">
        <color indexed="64"/>
      </left>
      <right style="hair">
        <color indexed="64"/>
      </right>
      <top style="hair">
        <color indexed="64"/>
      </top>
      <bottom style="dotted">
        <color indexed="64"/>
      </bottom>
      <diagonal/>
    </border>
    <border>
      <left style="hair">
        <color indexed="64"/>
      </left>
      <right/>
      <top style="hair">
        <color indexed="64"/>
      </top>
      <bottom style="hair">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hair">
        <color indexed="64"/>
      </right>
      <top style="dotted">
        <color indexed="64"/>
      </top>
      <bottom style="hair">
        <color indexed="64"/>
      </bottom>
      <diagonal/>
    </border>
    <border>
      <left style="hair">
        <color indexed="64"/>
      </left>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style="thin">
        <color indexed="64"/>
      </right>
      <top style="dotted">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tted">
        <color indexed="64"/>
      </bottom>
      <diagonal/>
    </border>
    <border>
      <left style="thin">
        <color theme="1"/>
      </left>
      <right style="thin">
        <color theme="1"/>
      </right>
      <top style="thin">
        <color theme="1"/>
      </top>
      <bottom style="thin">
        <color theme="1"/>
      </bottom>
      <diagonal/>
    </border>
    <border>
      <left style="thin">
        <color auto="1"/>
      </left>
      <right style="dotted">
        <color auto="1"/>
      </right>
      <top/>
      <bottom style="medium">
        <color auto="1"/>
      </bottom>
      <diagonal/>
    </border>
    <border>
      <left style="thin">
        <color indexed="64"/>
      </left>
      <right style="dotted">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dotted">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top/>
      <bottom style="hair">
        <color indexed="64"/>
      </bottom>
      <diagonal/>
    </border>
    <border>
      <left style="hair">
        <color indexed="64"/>
      </left>
      <right/>
      <top style="hair">
        <color indexed="64"/>
      </top>
      <bottom style="thin">
        <color indexed="64"/>
      </bottom>
      <diagonal/>
    </border>
    <border>
      <left/>
      <right/>
      <top style="thin">
        <color auto="1"/>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dotted">
        <color indexed="64"/>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dashed">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dashed">
        <color indexed="64"/>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style="double">
        <color auto="1"/>
      </right>
      <top style="thin">
        <color auto="1"/>
      </top>
      <bottom style="dashed">
        <color auto="1"/>
      </bottom>
      <diagonal/>
    </border>
    <border>
      <left style="medium">
        <color indexed="64"/>
      </left>
      <right style="double">
        <color auto="1"/>
      </right>
      <top style="dashed">
        <color auto="1"/>
      </top>
      <bottom style="dashed">
        <color auto="1"/>
      </bottom>
      <diagonal/>
    </border>
    <border>
      <left style="medium">
        <color auto="1"/>
      </left>
      <right style="double">
        <color auto="1"/>
      </right>
      <top style="dashed">
        <color auto="1"/>
      </top>
      <bottom style="medium">
        <color auto="1"/>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dotted">
        <color indexed="64"/>
      </top>
      <bottom/>
      <diagonal/>
    </border>
    <border>
      <left style="hair">
        <color indexed="64"/>
      </left>
      <right style="hair">
        <color indexed="64"/>
      </right>
      <top style="dotted">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medium">
        <color indexed="64"/>
      </right>
      <top/>
      <bottom style="hair">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ashed">
        <color indexed="64"/>
      </bottom>
      <diagonal/>
    </border>
    <border>
      <left style="dotted">
        <color indexed="64"/>
      </left>
      <right style="dotted">
        <color indexed="64"/>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style="thin">
        <color indexed="64"/>
      </bottom>
      <diagonal/>
    </border>
    <border>
      <left style="dotted">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top style="medium">
        <color indexed="64"/>
      </top>
      <bottom style="dotted">
        <color indexed="64"/>
      </bottom>
      <diagonal/>
    </border>
    <border>
      <left style="medium">
        <color indexed="64"/>
      </left>
      <right style="medium">
        <color indexed="64"/>
      </right>
      <top style="thin">
        <color indexed="64"/>
      </top>
      <bottom style="thin">
        <color indexed="64"/>
      </bottom>
      <diagonal/>
    </border>
    <border>
      <left style="hair">
        <color indexed="64"/>
      </left>
      <right/>
      <top style="dotted">
        <color indexed="64"/>
      </top>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medium">
        <color indexed="64"/>
      </right>
      <top style="hair">
        <color indexed="64"/>
      </top>
      <bottom/>
      <diagonal/>
    </border>
    <border>
      <left style="medium">
        <color indexed="64"/>
      </left>
      <right style="medium">
        <color indexed="64"/>
      </right>
      <top style="hair">
        <color indexed="64"/>
      </top>
      <bottom/>
      <diagonal/>
    </border>
    <border>
      <left style="dotted">
        <color indexed="64"/>
      </left>
      <right style="dotted">
        <color indexed="64"/>
      </right>
      <top style="hair">
        <color indexed="64"/>
      </top>
      <bottom style="thin">
        <color indexed="64"/>
      </bottom>
      <diagonal/>
    </border>
    <border>
      <left style="dotted">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hair">
        <color indexed="64"/>
      </bottom>
      <diagonal/>
    </border>
    <border>
      <left style="thin">
        <color indexed="64"/>
      </left>
      <right/>
      <top style="dotted">
        <color indexed="64"/>
      </top>
      <bottom style="hair">
        <color indexed="64"/>
      </bottom>
      <diagonal/>
    </border>
    <border>
      <left/>
      <right style="dotted">
        <color indexed="64"/>
      </right>
      <top style="dotted">
        <color indexed="64"/>
      </top>
      <bottom style="hair">
        <color indexed="64"/>
      </bottom>
      <diagonal/>
    </border>
    <border>
      <left style="dotted">
        <color indexed="64"/>
      </left>
      <right/>
      <top style="dotted">
        <color indexed="64"/>
      </top>
      <bottom style="hair">
        <color indexed="64"/>
      </bottom>
      <diagonal/>
    </border>
    <border>
      <left style="hair">
        <color indexed="64"/>
      </left>
      <right style="dotted">
        <color indexed="64"/>
      </right>
      <top style="hair">
        <color indexed="64"/>
      </top>
      <bottom style="medium">
        <color indexed="64"/>
      </bottom>
      <diagonal/>
    </border>
    <border>
      <left style="dotted">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dotted">
        <color indexed="64"/>
      </left>
      <right style="hair">
        <color indexed="64"/>
      </right>
      <top style="dashed">
        <color indexed="64"/>
      </top>
      <bottom style="dashed">
        <color indexed="64"/>
      </bottom>
      <diagonal/>
    </border>
    <border>
      <left style="hair">
        <color indexed="64"/>
      </left>
      <right style="dotted">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dotted">
        <color indexed="64"/>
      </left>
      <right style="hair">
        <color indexed="64"/>
      </right>
      <top style="dashed">
        <color indexed="64"/>
      </top>
      <bottom style="thin">
        <color indexed="64"/>
      </bottom>
      <diagonal/>
    </border>
    <border>
      <left style="hair">
        <color indexed="64"/>
      </left>
      <right style="dotted">
        <color indexed="64"/>
      </right>
      <top style="dashed">
        <color indexed="64"/>
      </top>
      <bottom style="thin">
        <color indexed="64"/>
      </bottom>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double">
        <color indexed="64"/>
      </left>
      <right style="double">
        <color indexed="64"/>
      </right>
      <top style="double">
        <color indexed="64"/>
      </top>
      <bottom style="medium">
        <color indexed="64"/>
      </bottom>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left style="double">
        <color indexed="64"/>
      </left>
      <right style="double">
        <color indexed="64"/>
      </right>
      <top/>
      <bottom style="thin">
        <color indexed="64"/>
      </bottom>
      <diagonal/>
    </border>
    <border>
      <left style="medium">
        <color indexed="64"/>
      </left>
      <right style="hair">
        <color indexed="64"/>
      </right>
      <top style="hair">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double">
        <color indexed="64"/>
      </right>
      <top style="thin">
        <color indexed="64"/>
      </top>
      <bottom style="thin">
        <color indexed="64"/>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style="dashed">
        <color indexed="64"/>
      </bottom>
      <diagonal/>
    </border>
    <border>
      <left style="thin">
        <color indexed="64"/>
      </left>
      <right/>
      <top/>
      <bottom style="dashed">
        <color indexed="64"/>
      </bottom>
      <diagonal/>
    </border>
    <border>
      <left style="hair">
        <color indexed="64"/>
      </left>
      <right style="thin">
        <color indexed="64"/>
      </right>
      <top/>
      <bottom style="dashed">
        <color indexed="64"/>
      </bottom>
      <diagonal/>
    </border>
    <border>
      <left style="hair">
        <color indexed="64"/>
      </left>
      <right style="hair">
        <color indexed="64"/>
      </right>
      <top/>
      <bottom style="dashed">
        <color indexed="64"/>
      </bottom>
      <diagonal/>
    </border>
    <border>
      <left style="thin">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double">
        <color indexed="64"/>
      </left>
      <right style="double">
        <color indexed="64"/>
      </right>
      <top style="thin">
        <color indexed="64"/>
      </top>
      <bottom style="double">
        <color indexed="64"/>
      </bottom>
      <diagonal/>
    </border>
    <border>
      <left/>
      <right/>
      <top style="double">
        <color indexed="64"/>
      </top>
      <bottom/>
      <diagonal/>
    </border>
    <border>
      <left style="hair">
        <color indexed="64"/>
      </left>
      <right style="thin">
        <color indexed="64"/>
      </right>
      <top style="dashed">
        <color indexed="64"/>
      </top>
      <bottom style="thin">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style="medium">
        <color indexed="64"/>
      </right>
      <top/>
      <bottom style="medium">
        <color indexed="64"/>
      </bottom>
      <diagonal style="thin">
        <color indexed="64"/>
      </diagonal>
    </border>
    <border>
      <left style="hair">
        <color indexed="64"/>
      </left>
      <right style="thin">
        <color indexed="64"/>
      </right>
      <top style="medium">
        <color indexed="64"/>
      </top>
      <bottom style="dashed">
        <color indexed="64"/>
      </bottom>
      <diagonal/>
    </border>
    <border>
      <left style="double">
        <color indexed="64"/>
      </left>
      <right/>
      <top style="medium">
        <color indexed="64"/>
      </top>
      <bottom style="medium">
        <color indexed="64"/>
      </bottom>
      <diagonal/>
    </border>
    <border>
      <left style="double">
        <color indexed="64"/>
      </left>
      <right style="double">
        <color indexed="64"/>
      </right>
      <top style="medium">
        <color indexed="64"/>
      </top>
      <bottom style="thin">
        <color indexed="64"/>
      </bottom>
      <diagonal/>
    </border>
    <border>
      <left/>
      <right style="thin">
        <color indexed="64"/>
      </right>
      <top style="dashed">
        <color indexed="64"/>
      </top>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style="hair">
        <color indexed="64"/>
      </right>
      <top style="medium">
        <color indexed="64"/>
      </top>
      <bottom style="hair">
        <color indexed="64"/>
      </bottom>
      <diagonal/>
    </border>
    <border>
      <left style="hair">
        <color indexed="64"/>
      </left>
      <right/>
      <top style="hair">
        <color indexed="64"/>
      </top>
      <bottom/>
      <diagonal/>
    </border>
    <border>
      <left/>
      <right style="dotted">
        <color indexed="64"/>
      </right>
      <top style="dotted">
        <color indexed="64"/>
      </top>
      <bottom/>
      <diagonal/>
    </border>
    <border>
      <left style="thin">
        <color indexed="64"/>
      </left>
      <right style="dotted">
        <color indexed="64"/>
      </right>
      <top style="dotted">
        <color indexed="64"/>
      </top>
      <bottom/>
      <diagonal/>
    </border>
    <border>
      <left style="hair">
        <color indexed="64"/>
      </left>
      <right/>
      <top/>
      <bottom style="medium">
        <color indexed="64"/>
      </bottom>
      <diagonal/>
    </border>
    <border>
      <left/>
      <right/>
      <top style="hair">
        <color indexed="64"/>
      </top>
      <bottom style="medium">
        <color indexed="64"/>
      </bottom>
      <diagonal/>
    </border>
    <border>
      <left/>
      <right style="dotted">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indexed="64"/>
      </left>
      <right/>
      <top style="medium">
        <color indexed="64"/>
      </top>
      <bottom style="dashed">
        <color indexed="64"/>
      </bottom>
      <diagonal/>
    </border>
    <border>
      <left/>
      <right style="dotted">
        <color indexed="64"/>
      </right>
      <top style="medium">
        <color indexed="64"/>
      </top>
      <bottom/>
      <diagonal/>
    </border>
    <border>
      <left/>
      <right/>
      <top style="medium">
        <color indexed="64"/>
      </top>
      <bottom style="dashed">
        <color indexed="64"/>
      </bottom>
      <diagonal/>
    </border>
    <border>
      <left/>
      <right style="hair">
        <color indexed="64"/>
      </right>
      <top style="medium">
        <color indexed="64"/>
      </top>
      <bottom/>
      <diagonal/>
    </border>
    <border>
      <left style="thin">
        <color indexed="64"/>
      </left>
      <right style="dotted">
        <color indexed="64"/>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hair">
        <color indexed="64"/>
      </right>
      <top/>
      <bottom/>
      <diagonal/>
    </border>
    <border>
      <left style="hair">
        <color indexed="64"/>
      </left>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top style="dashed">
        <color indexed="64"/>
      </top>
      <bottom style="hair">
        <color indexed="64"/>
      </bottom>
      <diagonal/>
    </border>
    <border>
      <left/>
      <right style="dotted">
        <color indexed="64"/>
      </right>
      <top style="dashed">
        <color indexed="64"/>
      </top>
      <bottom style="hair">
        <color indexed="64"/>
      </bottom>
      <diagonal/>
    </border>
    <border>
      <left style="dotted">
        <color indexed="64"/>
      </left>
      <right/>
      <top style="dashed">
        <color indexed="64"/>
      </top>
      <bottom style="hair">
        <color indexed="64"/>
      </bottom>
      <diagonal/>
    </border>
    <border>
      <left/>
      <right/>
      <top style="dashed">
        <color indexed="64"/>
      </top>
      <bottom style="hair">
        <color indexed="64"/>
      </bottom>
      <diagonal/>
    </border>
    <border>
      <left/>
      <right style="hair">
        <color indexed="64"/>
      </right>
      <top style="dashed">
        <color indexed="64"/>
      </top>
      <bottom style="hair">
        <color indexed="64"/>
      </bottom>
      <diagonal/>
    </border>
    <border>
      <left style="thin">
        <color indexed="64"/>
      </left>
      <right style="dotted">
        <color indexed="64"/>
      </right>
      <top style="dashed">
        <color indexed="64"/>
      </top>
      <bottom style="hair">
        <color indexed="64"/>
      </bottom>
      <diagonal/>
    </border>
    <border>
      <left style="double">
        <color indexed="64"/>
      </left>
      <right style="double">
        <color indexed="64"/>
      </right>
      <top style="thin">
        <color indexed="64"/>
      </top>
      <bottom/>
      <diagonal/>
    </border>
    <border>
      <left style="double">
        <color indexed="64"/>
      </left>
      <right/>
      <top style="thin">
        <color indexed="64"/>
      </top>
      <bottom style="thin">
        <color indexed="64"/>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hair">
        <color indexed="64"/>
      </left>
      <right/>
      <top/>
      <bottom/>
      <diagonal/>
    </border>
    <border>
      <left/>
      <right style="dotted">
        <color indexed="64"/>
      </right>
      <top/>
      <bottom/>
      <diagonal/>
    </border>
    <border>
      <left style="hair">
        <color indexed="64"/>
      </left>
      <right/>
      <top/>
      <bottom style="dashed">
        <color indexed="64"/>
      </bottom>
      <diagonal/>
    </border>
    <border>
      <left style="hair">
        <color indexed="64"/>
      </left>
      <right style="thin">
        <color indexed="64"/>
      </right>
      <top style="hair">
        <color indexed="64"/>
      </top>
      <bottom style="dashed">
        <color indexed="64"/>
      </bottom>
      <diagonal/>
    </border>
    <border>
      <left style="thin">
        <color indexed="64"/>
      </left>
      <right/>
      <top style="hair">
        <color indexed="64"/>
      </top>
      <bottom style="dashed">
        <color indexed="64"/>
      </bottom>
      <diagonal/>
    </border>
    <border>
      <left/>
      <right style="dotted">
        <color indexed="64"/>
      </right>
      <top style="hair">
        <color indexed="64"/>
      </top>
      <bottom style="dashed">
        <color indexed="64"/>
      </bottom>
      <diagonal/>
    </border>
    <border>
      <left/>
      <right/>
      <top style="hair">
        <color indexed="64"/>
      </top>
      <bottom style="dashed">
        <color indexed="64"/>
      </bottom>
      <diagonal/>
    </border>
    <border>
      <left/>
      <right style="hair">
        <color indexed="64"/>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style="dotted">
        <color indexed="64"/>
      </right>
      <top style="hair">
        <color indexed="64"/>
      </top>
      <bottom style="dashed">
        <color indexed="64"/>
      </bottom>
      <diagonal/>
    </border>
    <border>
      <left style="hair">
        <color indexed="64"/>
      </left>
      <right/>
      <top style="dashed">
        <color indexed="64"/>
      </top>
      <bottom/>
      <diagonal/>
    </border>
    <border>
      <left style="thin">
        <color indexed="64"/>
      </left>
      <right/>
      <top style="dashed">
        <color indexed="64"/>
      </top>
      <bottom/>
      <diagonal/>
    </border>
    <border>
      <left/>
      <right style="dotted">
        <color indexed="64"/>
      </right>
      <top style="dashed">
        <color indexed="64"/>
      </top>
      <bottom/>
      <diagonal/>
    </border>
    <border>
      <left style="dotted">
        <color indexed="64"/>
      </left>
      <right/>
      <top style="dashed">
        <color indexed="64"/>
      </top>
      <bottom/>
      <diagonal/>
    </border>
    <border>
      <left/>
      <right/>
      <top style="dashed">
        <color indexed="64"/>
      </top>
      <bottom/>
      <diagonal/>
    </border>
    <border>
      <left style="thin">
        <color indexed="64"/>
      </left>
      <right style="dotted">
        <color indexed="64"/>
      </right>
      <top/>
      <bottom style="hair">
        <color indexed="64"/>
      </bottom>
      <diagonal/>
    </border>
    <border>
      <left/>
      <right style="dotted">
        <color indexed="64"/>
      </right>
      <top style="hair">
        <color indexed="64"/>
      </top>
      <bottom/>
      <diagonal/>
    </border>
    <border>
      <left style="thin">
        <color indexed="64"/>
      </left>
      <right style="hair">
        <color indexed="64"/>
      </right>
      <top style="dashed">
        <color indexed="64"/>
      </top>
      <bottom/>
      <diagonal/>
    </border>
    <border>
      <left style="hair">
        <color indexed="64"/>
      </left>
      <right style="dotted">
        <color indexed="64"/>
      </right>
      <top style="hair">
        <color indexed="64"/>
      </top>
      <bottom/>
      <diagonal/>
    </border>
    <border>
      <left style="thin">
        <color indexed="64"/>
      </left>
      <right style="hair">
        <color indexed="64"/>
      </right>
      <top/>
      <bottom style="dashed">
        <color indexed="64"/>
      </bottom>
      <diagonal/>
    </border>
    <border>
      <left style="hair">
        <color indexed="64"/>
      </left>
      <right style="dotted">
        <color indexed="64"/>
      </right>
      <top style="hair">
        <color indexed="64"/>
      </top>
      <bottom style="dashed">
        <color indexed="64"/>
      </bottom>
      <diagonal/>
    </border>
    <border>
      <left/>
      <right/>
      <top/>
      <bottom style="dashed">
        <color indexed="64"/>
      </bottom>
      <diagonal/>
    </border>
    <border>
      <left style="thin">
        <color indexed="64"/>
      </left>
      <right style="hair">
        <color indexed="64"/>
      </right>
      <top/>
      <bottom style="thin">
        <color indexed="64"/>
      </bottom>
      <diagonal/>
    </border>
    <border>
      <left style="hair">
        <color indexed="64"/>
      </left>
      <right/>
      <top style="dashed">
        <color indexed="64"/>
      </top>
      <bottom style="thin">
        <color indexed="64"/>
      </bottom>
      <diagonal/>
    </border>
    <border>
      <left/>
      <right style="dotted">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thin">
        <color indexed="64"/>
      </top>
      <bottom/>
      <diagonal/>
    </border>
    <border>
      <left/>
      <right style="dotted">
        <color indexed="64"/>
      </right>
      <top/>
      <bottom style="dashed">
        <color indexed="64"/>
      </bottom>
      <diagonal/>
    </border>
    <border>
      <left/>
      <right style="hair">
        <color indexed="64"/>
      </right>
      <top/>
      <bottom style="dashed">
        <color indexed="64"/>
      </bottom>
      <diagonal/>
    </border>
    <border>
      <left style="thin">
        <color indexed="64"/>
      </left>
      <right style="dotted">
        <color indexed="64"/>
      </right>
      <top/>
      <bottom style="dashed">
        <color indexed="64"/>
      </bottom>
      <diagonal/>
    </border>
    <border>
      <left style="hair">
        <color indexed="64"/>
      </left>
      <right style="thin">
        <color indexed="64"/>
      </right>
      <top style="dashed">
        <color indexed="64"/>
      </top>
      <bottom/>
      <diagonal/>
    </border>
    <border>
      <left style="dotted">
        <color indexed="64"/>
      </left>
      <right style="dotted">
        <color indexed="64"/>
      </right>
      <top style="dashed">
        <color indexed="64"/>
      </top>
      <bottom style="hair">
        <color indexed="64"/>
      </bottom>
      <diagonal/>
    </border>
    <border>
      <left style="thin">
        <color indexed="64"/>
      </left>
      <right style="dotted">
        <color indexed="64"/>
      </right>
      <top style="dashed">
        <color indexed="64"/>
      </top>
      <bottom/>
      <diagonal/>
    </border>
    <border>
      <left style="dotted">
        <color indexed="64"/>
      </left>
      <right style="thin">
        <color indexed="64"/>
      </right>
      <top style="dashed">
        <color indexed="64"/>
      </top>
      <bottom/>
      <diagonal/>
    </border>
    <border>
      <left style="hair">
        <color indexed="64"/>
      </left>
      <right style="thin">
        <color indexed="64"/>
      </right>
      <top/>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bottom/>
      <diagonal/>
    </border>
    <border>
      <left style="dotted">
        <color indexed="64"/>
      </left>
      <right style="thin">
        <color indexed="64"/>
      </right>
      <top/>
      <bottom/>
      <diagonal/>
    </border>
    <border>
      <left style="double">
        <color indexed="64"/>
      </left>
      <right style="double">
        <color indexed="64"/>
      </right>
      <top/>
      <bottom/>
      <diagonal/>
    </border>
    <border>
      <left style="dotted">
        <color indexed="64"/>
      </left>
      <right style="dotted">
        <color indexed="64"/>
      </right>
      <top style="hair">
        <color indexed="64"/>
      </top>
      <bottom style="dashed">
        <color indexed="64"/>
      </bottom>
      <diagonal/>
    </border>
    <border>
      <left style="dotted">
        <color indexed="64"/>
      </left>
      <right/>
      <top style="hair">
        <color indexed="64"/>
      </top>
      <bottom style="dashed">
        <color indexed="64"/>
      </bottom>
      <diagonal/>
    </border>
    <border>
      <left style="dotted">
        <color indexed="64"/>
      </left>
      <right style="thin">
        <color indexed="64"/>
      </right>
      <top/>
      <bottom style="dashed">
        <color indexed="64"/>
      </bottom>
      <diagonal/>
    </border>
    <border>
      <left style="hair">
        <color indexed="64"/>
      </left>
      <right style="thin">
        <color indexed="64"/>
      </right>
      <top style="dashed">
        <color indexed="64"/>
      </top>
      <bottom style="hair">
        <color indexed="64"/>
      </bottom>
      <diagonal/>
    </border>
    <border>
      <left style="dotted">
        <color indexed="64"/>
      </left>
      <right style="dotted">
        <color indexed="64"/>
      </right>
      <top style="dashed">
        <color indexed="64"/>
      </top>
      <bottom/>
      <diagonal/>
    </border>
    <border>
      <left/>
      <right style="hair">
        <color indexed="64"/>
      </right>
      <top style="dashed">
        <color indexed="64"/>
      </top>
      <bottom/>
      <diagonal/>
    </border>
    <border>
      <left style="hair">
        <color indexed="64"/>
      </left>
      <right/>
      <top/>
      <bottom style="thin">
        <color indexed="64"/>
      </bottom>
      <diagonal/>
    </border>
    <border>
      <left style="dotted">
        <color indexed="64"/>
      </left>
      <right/>
      <top style="hair">
        <color indexed="64"/>
      </top>
      <bottom/>
      <diagonal/>
    </border>
    <border>
      <left style="hair">
        <color indexed="64"/>
      </left>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hair">
        <color indexed="64"/>
      </right>
      <top style="thin">
        <color indexed="64"/>
      </top>
      <bottom/>
      <diagonal/>
    </border>
    <border>
      <left style="double">
        <color indexed="64"/>
      </left>
      <right/>
      <top style="thin">
        <color indexed="64"/>
      </top>
      <bottom/>
      <diagonal/>
    </border>
    <border>
      <left style="dotted">
        <color indexed="64"/>
      </left>
      <right/>
      <top/>
      <bottom/>
      <diagonal/>
    </border>
    <border>
      <left style="dotted">
        <color indexed="64"/>
      </left>
      <right style="dotted">
        <color indexed="64"/>
      </right>
      <top style="hair">
        <color indexed="64"/>
      </top>
      <bottom style="medium">
        <color indexed="64"/>
      </bottom>
      <diagonal/>
    </border>
    <border>
      <left style="dotted">
        <color indexed="64"/>
      </left>
      <right/>
      <top style="hair">
        <color indexed="64"/>
      </top>
      <bottom style="medium">
        <color indexed="64"/>
      </bottom>
      <diagonal/>
    </border>
    <border diagonalUp="1">
      <left style="double">
        <color indexed="64"/>
      </left>
      <right style="double">
        <color indexed="64"/>
      </right>
      <top style="thin">
        <color indexed="64"/>
      </top>
      <bottom style="thin">
        <color indexed="64"/>
      </bottom>
      <diagonal style="thin">
        <color indexed="64"/>
      </diagonal>
    </border>
    <border>
      <left/>
      <right style="dotted">
        <color indexed="64"/>
      </right>
      <top style="medium">
        <color indexed="64"/>
      </top>
      <bottom style="hair">
        <color indexed="64"/>
      </bottom>
      <diagonal/>
    </border>
    <border>
      <left style="dotted">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otted">
        <color indexed="64"/>
      </left>
      <right/>
      <top style="dashed">
        <color indexed="64"/>
      </top>
      <bottom style="thin">
        <color indexed="64"/>
      </bottom>
      <diagonal/>
    </border>
    <border>
      <left style="hair">
        <color indexed="64"/>
      </left>
      <right style="medium">
        <color indexed="64"/>
      </right>
      <top/>
      <bottom/>
      <diagonal/>
    </border>
    <border>
      <left style="hair">
        <color indexed="64"/>
      </left>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hair">
        <color indexed="64"/>
      </left>
      <right style="thin">
        <color indexed="64"/>
      </right>
      <top style="medium">
        <color indexed="64"/>
      </top>
      <bottom style="dotted">
        <color indexed="64"/>
      </bottom>
      <diagonal/>
    </border>
    <border>
      <left style="thin">
        <color indexed="64"/>
      </left>
      <right style="thin">
        <color indexed="64"/>
      </right>
      <top/>
      <bottom style="hair">
        <color indexed="64"/>
      </bottom>
      <diagonal/>
    </border>
    <border diagonalUp="1">
      <left style="medium">
        <color indexed="64"/>
      </left>
      <right style="medium">
        <color indexed="64"/>
      </right>
      <top style="medium">
        <color indexed="64"/>
      </top>
      <bottom style="thin">
        <color indexed="64"/>
      </bottom>
      <diagonal style="thin">
        <color indexed="64"/>
      </diagonal>
    </border>
    <border>
      <left style="hair">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style="dashed">
        <color indexed="64"/>
      </top>
      <bottom/>
      <diagonal/>
    </border>
    <border>
      <left style="hair">
        <color indexed="64"/>
      </left>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style="thin">
        <color indexed="64"/>
      </top>
      <bottom style="thin">
        <color indexed="64"/>
      </bottom>
      <diagonal/>
    </border>
    <border>
      <left style="dotted">
        <color indexed="64"/>
      </left>
      <right style="dotted">
        <color indexed="64"/>
      </right>
      <top/>
      <bottom style="dashed">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style="dotted">
        <color indexed="64"/>
      </bottom>
      <diagonal/>
    </border>
    <border>
      <left style="double">
        <color indexed="64"/>
      </left>
      <right style="double">
        <color indexed="64"/>
      </right>
      <top style="medium">
        <color indexed="64"/>
      </top>
      <bottom style="double">
        <color indexed="64"/>
      </bottom>
      <diagonal/>
    </border>
    <border>
      <left style="dotted">
        <color indexed="64"/>
      </left>
      <right style="hair">
        <color indexed="64"/>
      </right>
      <top style="dashed">
        <color indexed="64"/>
      </top>
      <bottom/>
      <diagonal/>
    </border>
    <border>
      <left style="hair">
        <color indexed="64"/>
      </left>
      <right style="dotted">
        <color indexed="64"/>
      </right>
      <top style="dashed">
        <color indexed="64"/>
      </top>
      <bottom/>
      <diagonal/>
    </border>
    <border>
      <left style="dotted">
        <color indexed="64"/>
      </left>
      <right style="hair">
        <color indexed="64"/>
      </right>
      <top/>
      <bottom style="dashed">
        <color indexed="64"/>
      </bottom>
      <diagonal/>
    </border>
    <border>
      <left style="hair">
        <color indexed="64"/>
      </left>
      <right style="dotted">
        <color indexed="64"/>
      </right>
      <top/>
      <bottom style="dashed">
        <color indexed="64"/>
      </bottom>
      <diagonal/>
    </border>
    <border>
      <left style="dotted">
        <color indexed="64"/>
      </left>
      <right style="thin">
        <color indexed="64"/>
      </right>
      <top style="thin">
        <color indexed="64"/>
      </top>
      <bottom/>
      <diagonal/>
    </border>
    <border>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hair">
        <color indexed="64"/>
      </left>
      <right style="dotted">
        <color indexed="64"/>
      </right>
      <top/>
      <bottom/>
      <diagonal/>
    </border>
    <border>
      <left style="dotted">
        <color indexed="64"/>
      </left>
      <right/>
      <top/>
      <bottom style="dashed">
        <color indexed="64"/>
      </bottom>
      <diagonal/>
    </border>
    <border>
      <left style="double">
        <color indexed="64"/>
      </left>
      <right/>
      <top/>
      <bottom style="thin">
        <color indexed="64"/>
      </bottom>
      <diagonal/>
    </border>
    <border>
      <left/>
      <right style="hair">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dotted">
        <color indexed="64"/>
      </bottom>
      <diagonal/>
    </border>
    <border>
      <left style="hair">
        <color indexed="64"/>
      </left>
      <right style="dotted">
        <color indexed="64"/>
      </right>
      <top style="hair">
        <color indexed="64"/>
      </top>
      <bottom style="hair">
        <color indexed="64"/>
      </bottom>
      <diagonal/>
    </border>
    <border>
      <left style="dotted">
        <color indexed="64"/>
      </left>
      <right style="thin">
        <color theme="1"/>
      </right>
      <top style="dotted">
        <color indexed="64"/>
      </top>
      <bottom style="hair">
        <color indexed="64"/>
      </bottom>
      <diagonal/>
    </border>
    <border>
      <left style="dotted">
        <color indexed="64"/>
      </left>
      <right style="thin">
        <color theme="1"/>
      </right>
      <top/>
      <bottom/>
      <diagonal/>
    </border>
    <border>
      <left style="hair">
        <color indexed="64"/>
      </left>
      <right/>
      <top style="medium">
        <color indexed="64"/>
      </top>
      <bottom style="hair">
        <color indexed="64"/>
      </bottom>
      <diagonal/>
    </border>
    <border>
      <left/>
      <right style="hair">
        <color indexed="64"/>
      </right>
      <top style="dotted">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medium">
        <color indexed="64"/>
      </right>
      <top style="hair">
        <color indexed="64"/>
      </top>
      <bottom/>
      <diagonal/>
    </border>
    <border>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top/>
      <bottom style="medium">
        <color indexed="64"/>
      </bottom>
      <diagonal/>
    </border>
    <border>
      <left style="hair">
        <color auto="1"/>
      </left>
      <right style="hair">
        <color auto="1"/>
      </right>
      <top style="hair">
        <color indexed="64"/>
      </top>
      <bottom style="dashed">
        <color indexed="64"/>
      </bottom>
      <diagonal/>
    </border>
    <border>
      <left style="hair">
        <color indexed="64"/>
      </left>
      <right style="hair">
        <color indexed="64"/>
      </right>
      <top style="dashed">
        <color indexed="64"/>
      </top>
      <bottom style="hair">
        <color indexed="64"/>
      </bottom>
      <diagonal/>
    </border>
    <border>
      <left style="hair">
        <color indexed="64"/>
      </left>
      <right style="dotted">
        <color indexed="64"/>
      </right>
      <top style="dotted">
        <color indexed="64"/>
      </top>
      <bottom style="dashed">
        <color indexed="64"/>
      </bottom>
      <diagonal/>
    </border>
    <border>
      <left style="hair">
        <color indexed="64"/>
      </left>
      <right style="dotted">
        <color indexed="64"/>
      </right>
      <top style="dashed">
        <color indexed="64"/>
      </top>
      <bottom style="hair">
        <color indexed="64"/>
      </bottom>
      <diagonal/>
    </border>
    <border>
      <left style="hair">
        <color indexed="64"/>
      </left>
      <right style="dotted">
        <color indexed="64"/>
      </right>
      <top style="thin">
        <color auto="1"/>
      </top>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thin">
        <color indexed="64"/>
      </top>
      <bottom style="dotted">
        <color indexed="64"/>
      </bottom>
      <diagonal/>
    </border>
    <border>
      <left style="hair">
        <color indexed="64"/>
      </left>
      <right style="dotted">
        <color indexed="64"/>
      </right>
      <top style="dotted">
        <color indexed="64"/>
      </top>
      <bottom style="thin">
        <color indexed="64"/>
      </bottom>
      <diagonal/>
    </border>
    <border>
      <left style="hair">
        <color indexed="64"/>
      </left>
      <right style="dotted">
        <color indexed="64"/>
      </right>
      <top style="dotted">
        <color indexed="64"/>
      </top>
      <bottom style="hair">
        <color indexed="64"/>
      </bottom>
      <diagonal/>
    </border>
    <border>
      <left style="hair">
        <color indexed="64"/>
      </left>
      <right style="dotted">
        <color indexed="64"/>
      </right>
      <top style="thin">
        <color indexed="64"/>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top style="dotted">
        <color indexed="64"/>
      </top>
      <bottom/>
      <diagonal/>
    </border>
    <border>
      <left style="thin">
        <color indexed="64"/>
      </left>
      <right style="dotted">
        <color indexed="64"/>
      </right>
      <top style="hair">
        <color indexed="64"/>
      </top>
      <bottom style="dotted">
        <color indexed="64"/>
      </bottom>
      <diagonal/>
    </border>
    <border>
      <left style="dotted">
        <color indexed="64"/>
      </left>
      <right style="dotted">
        <color indexed="64"/>
      </right>
      <top style="hair">
        <color indexed="64"/>
      </top>
      <bottom style="dotted">
        <color indexed="64"/>
      </bottom>
      <diagonal/>
    </border>
    <border>
      <left style="dotted">
        <color indexed="64"/>
      </left>
      <right style="thin">
        <color indexed="64"/>
      </right>
      <top style="hair">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thin">
        <color indexed="64"/>
      </top>
      <bottom/>
      <diagonal/>
    </border>
    <border>
      <left style="dotted">
        <color indexed="64"/>
      </left>
      <right/>
      <top style="thin">
        <color indexed="64"/>
      </top>
      <bottom style="thin">
        <color indexed="64"/>
      </bottom>
      <diagonal/>
    </border>
    <border diagonalUp="1">
      <left style="thin">
        <color indexed="64"/>
      </left>
      <right style="thin">
        <color indexed="64"/>
      </right>
      <top style="dotted">
        <color indexed="64"/>
      </top>
      <bottom style="thin">
        <color indexed="64"/>
      </bottom>
      <diagonal style="thin">
        <color indexed="64"/>
      </diagonal>
    </border>
    <border>
      <left style="medium">
        <color indexed="64"/>
      </left>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top style="thin">
        <color auto="1"/>
      </top>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style="thin">
        <color rgb="FF000000"/>
      </left>
      <right/>
      <top style="thin">
        <color theme="4" tint="0.39997558519241921"/>
      </top>
      <bottom style="thin">
        <color theme="4" tint="0.39997558519241921"/>
      </bottom>
      <diagonal/>
    </border>
    <border>
      <left style="thin">
        <color indexed="64"/>
      </left>
      <right/>
      <top style="thin">
        <color indexed="64"/>
      </top>
      <bottom style="thin">
        <color theme="4" tint="0.39997558519241921"/>
      </bottom>
      <diagonal/>
    </border>
    <border diagonalUp="1">
      <left style="hair">
        <color indexed="64"/>
      </left>
      <right style="dotted">
        <color indexed="64"/>
      </right>
      <top style="medium">
        <color indexed="64"/>
      </top>
      <bottom style="hair">
        <color indexed="64"/>
      </bottom>
      <diagonal style="hair">
        <color indexed="64"/>
      </diagonal>
    </border>
    <border diagonalUp="1">
      <left style="hair">
        <color indexed="64"/>
      </left>
      <right style="dotted">
        <color indexed="64"/>
      </right>
      <top style="hair">
        <color indexed="64"/>
      </top>
      <bottom style="hair">
        <color indexed="64"/>
      </bottom>
      <diagonal style="hair">
        <color indexed="64"/>
      </diagonal>
    </border>
    <border diagonalUp="1">
      <left style="hair">
        <color indexed="64"/>
      </left>
      <right style="dotted">
        <color indexed="64"/>
      </right>
      <top style="hair">
        <color indexed="64"/>
      </top>
      <bottom style="dotted">
        <color indexed="64"/>
      </bottom>
      <diagonal style="hair">
        <color indexed="64"/>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dotted">
        <color indexed="64"/>
      </right>
      <top/>
      <bottom style="dotted">
        <color indexed="64"/>
      </bottom>
      <diagonal/>
    </border>
    <border>
      <left style="dotted">
        <color indexed="64"/>
      </left>
      <right/>
      <top/>
      <bottom style="dotted">
        <color indexed="64"/>
      </bottom>
      <diagonal/>
    </border>
    <border>
      <left style="dotted">
        <color indexed="64"/>
      </left>
      <right/>
      <top style="dott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right style="dotted">
        <color indexed="64"/>
      </right>
      <top style="dotted">
        <color indexed="64"/>
      </top>
      <bottom style="dashed">
        <color indexed="64"/>
      </bottom>
      <diagonal/>
    </border>
    <border>
      <left/>
      <right/>
      <top style="thin">
        <color indexed="64"/>
      </top>
      <bottom/>
      <diagonal/>
    </border>
    <border>
      <left style="double">
        <color auto="1"/>
      </left>
      <right style="thin">
        <color auto="1"/>
      </right>
      <top style="medium">
        <color auto="1"/>
      </top>
      <bottom/>
      <diagonal/>
    </border>
    <border>
      <left style="double">
        <color auto="1"/>
      </left>
      <right style="thin">
        <color auto="1"/>
      </right>
      <top/>
      <bottom/>
      <diagonal/>
    </border>
    <border>
      <left style="double">
        <color auto="1"/>
      </left>
      <right style="thin">
        <color auto="1"/>
      </right>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diagonalUp="1">
      <left style="double">
        <color auto="1"/>
      </left>
      <right style="thin">
        <color auto="1"/>
      </right>
      <top style="medium">
        <color indexed="64"/>
      </top>
      <bottom/>
      <diagonal style="thin">
        <color indexed="64"/>
      </diagonal>
    </border>
    <border diagonalUp="1">
      <left style="double">
        <color auto="1"/>
      </left>
      <right style="thin">
        <color auto="1"/>
      </right>
      <top/>
      <bottom/>
      <diagonal style="thin">
        <color indexed="64"/>
      </diagonal>
    </border>
    <border diagonalUp="1">
      <left style="double">
        <color auto="1"/>
      </left>
      <right style="thin">
        <color auto="1"/>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s>
  <cellStyleXfs count="17">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4" fillId="0" borderId="0"/>
    <xf numFmtId="0" fontId="15" fillId="0" borderId="0">
      <alignment vertical="center"/>
    </xf>
    <xf numFmtId="0" fontId="22" fillId="0" borderId="0">
      <alignment vertical="center"/>
    </xf>
    <xf numFmtId="0" fontId="7" fillId="0" borderId="0">
      <alignment vertical="center"/>
    </xf>
    <xf numFmtId="0" fontId="2" fillId="0" borderId="0">
      <alignment vertical="center"/>
    </xf>
    <xf numFmtId="0" fontId="72" fillId="0" borderId="0">
      <alignment vertical="center"/>
    </xf>
    <xf numFmtId="0" fontId="80" fillId="0" borderId="0"/>
    <xf numFmtId="0" fontId="85" fillId="0" borderId="0" applyNumberFormat="0" applyFill="0" applyBorder="0" applyAlignment="0" applyProtection="0">
      <alignment vertical="center"/>
    </xf>
    <xf numFmtId="0" fontId="80" fillId="0" borderId="0"/>
    <xf numFmtId="0" fontId="15" fillId="0" borderId="0">
      <alignment vertical="center"/>
    </xf>
    <xf numFmtId="0" fontId="90" fillId="0" borderId="0"/>
  </cellStyleXfs>
  <cellXfs count="3225">
    <xf numFmtId="0" fontId="0" fillId="0" borderId="0" xfId="0">
      <alignment vertical="center"/>
    </xf>
    <xf numFmtId="0" fontId="12" fillId="0" borderId="4" xfId="0" applyFont="1" applyBorder="1">
      <alignment vertical="center"/>
    </xf>
    <xf numFmtId="0" fontId="10" fillId="0" borderId="4" xfId="0" applyFont="1" applyBorder="1" applyAlignment="1"/>
    <xf numFmtId="0" fontId="20" fillId="8" borderId="15" xfId="3" applyFont="1" applyFill="1" applyBorder="1" applyAlignment="1">
      <alignment horizontal="center" vertical="center"/>
    </xf>
    <xf numFmtId="0" fontId="21" fillId="8" borderId="6" xfId="3" applyFont="1" applyFill="1" applyBorder="1" applyAlignment="1">
      <alignment horizontal="center" vertical="center"/>
    </xf>
    <xf numFmtId="0" fontId="21" fillId="8" borderId="17" xfId="3" applyFont="1" applyFill="1" applyBorder="1" applyAlignment="1">
      <alignment horizontal="center" vertical="center"/>
    </xf>
    <xf numFmtId="0" fontId="21" fillId="8" borderId="18" xfId="3" applyFont="1" applyFill="1" applyBorder="1" applyAlignment="1">
      <alignment horizontal="center" vertical="center"/>
    </xf>
    <xf numFmtId="0" fontId="21" fillId="8" borderId="14" xfId="3" applyFont="1" applyFill="1" applyBorder="1" applyAlignment="1">
      <alignment horizontal="center" vertical="center"/>
    </xf>
    <xf numFmtId="0" fontId="20" fillId="8" borderId="0" xfId="3" applyFont="1" applyFill="1" applyAlignment="1">
      <alignment horizontal="center" vertical="center"/>
    </xf>
    <xf numFmtId="0" fontId="20" fillId="0" borderId="0" xfId="8" applyFont="1">
      <alignment vertical="center"/>
    </xf>
    <xf numFmtId="0" fontId="20" fillId="9" borderId="0" xfId="8" applyFont="1" applyFill="1" applyAlignment="1">
      <alignment horizontal="center" vertical="center"/>
    </xf>
    <xf numFmtId="0" fontId="2" fillId="0" borderId="0" xfId="3"/>
    <xf numFmtId="0" fontId="21" fillId="8" borderId="8" xfId="3" applyFont="1" applyFill="1" applyBorder="1" applyAlignment="1">
      <alignment horizontal="center" vertical="center"/>
    </xf>
    <xf numFmtId="0" fontId="21" fillId="8" borderId="4" xfId="3" applyFont="1" applyFill="1" applyBorder="1" applyAlignment="1">
      <alignment horizontal="center" vertical="center"/>
    </xf>
    <xf numFmtId="0" fontId="23" fillId="0" borderId="0" xfId="3" applyFont="1" applyAlignment="1">
      <alignment horizontal="center" vertical="center"/>
    </xf>
    <xf numFmtId="0" fontId="23" fillId="0" borderId="21" xfId="3" applyFont="1" applyBorder="1" applyAlignment="1">
      <alignment horizontal="center" vertical="center"/>
    </xf>
    <xf numFmtId="0" fontId="20" fillId="0" borderId="0" xfId="3" applyFont="1" applyAlignment="1">
      <alignment horizontal="center" vertical="center"/>
    </xf>
    <xf numFmtId="0" fontId="21" fillId="10" borderId="4" xfId="8" applyFont="1" applyFill="1" applyBorder="1" applyAlignment="1">
      <alignment vertical="center" wrapText="1"/>
    </xf>
    <xf numFmtId="0" fontId="21" fillId="0" borderId="4" xfId="8" applyFont="1" applyBorder="1" applyAlignment="1">
      <alignment vertical="center" wrapText="1"/>
    </xf>
    <xf numFmtId="0" fontId="20" fillId="0" borderId="103" xfId="3" applyFont="1" applyBorder="1" applyAlignment="1">
      <alignment horizontal="center" vertical="center"/>
    </xf>
    <xf numFmtId="0" fontId="20" fillId="0" borderId="19" xfId="3" applyFont="1" applyBorder="1" applyAlignment="1">
      <alignment horizontal="center" vertical="center"/>
    </xf>
    <xf numFmtId="0" fontId="20" fillId="0" borderId="19" xfId="3" applyFont="1" applyBorder="1" applyAlignment="1">
      <alignment vertical="center"/>
    </xf>
    <xf numFmtId="0" fontId="20" fillId="0" borderId="0" xfId="3" applyFont="1" applyAlignment="1">
      <alignment vertical="center"/>
    </xf>
    <xf numFmtId="0" fontId="21" fillId="0" borderId="0" xfId="8" applyFont="1">
      <alignment vertical="center"/>
    </xf>
    <xf numFmtId="0" fontId="21" fillId="9" borderId="0" xfId="8" applyFont="1" applyFill="1" applyAlignment="1">
      <alignment horizontal="center" vertical="center"/>
    </xf>
    <xf numFmtId="0" fontId="21" fillId="11" borderId="21" xfId="8" applyFont="1" applyFill="1" applyBorder="1">
      <alignment vertical="center"/>
    </xf>
    <xf numFmtId="0" fontId="21" fillId="0" borderId="32" xfId="8" applyFont="1" applyBorder="1">
      <alignment vertical="center"/>
    </xf>
    <xf numFmtId="0" fontId="2" fillId="0" borderId="32" xfId="3" applyBorder="1"/>
    <xf numFmtId="0" fontId="2" fillId="0" borderId="6" xfId="3" applyBorder="1"/>
    <xf numFmtId="0" fontId="2" fillId="0" borderId="9" xfId="3" applyBorder="1"/>
    <xf numFmtId="0" fontId="21" fillId="0" borderId="21" xfId="8" applyFont="1" applyBorder="1">
      <alignment vertical="center"/>
    </xf>
    <xf numFmtId="0" fontId="21" fillId="0" borderId="15" xfId="8" applyFont="1" applyBorder="1">
      <alignment vertical="center"/>
    </xf>
    <xf numFmtId="0" fontId="24" fillId="0" borderId="0" xfId="8" applyFont="1">
      <alignment vertical="center"/>
    </xf>
    <xf numFmtId="0" fontId="21" fillId="0" borderId="20" xfId="8" applyFont="1" applyBorder="1">
      <alignment vertical="center"/>
    </xf>
    <xf numFmtId="0" fontId="21" fillId="0" borderId="10" xfId="8" applyFont="1" applyBorder="1">
      <alignment vertical="center"/>
    </xf>
    <xf numFmtId="0" fontId="2" fillId="0" borderId="10" xfId="3" applyBorder="1"/>
    <xf numFmtId="0" fontId="25" fillId="0" borderId="0" xfId="3" applyFont="1" applyAlignment="1">
      <alignment horizontal="center" vertical="center"/>
    </xf>
    <xf numFmtId="0" fontId="25" fillId="0" borderId="19" xfId="3" applyFont="1" applyBorder="1" applyAlignment="1">
      <alignment horizontal="center" vertical="center"/>
    </xf>
    <xf numFmtId="0" fontId="25" fillId="0" borderId="19" xfId="3" applyFont="1" applyBorder="1" applyAlignment="1">
      <alignment vertical="center"/>
    </xf>
    <xf numFmtId="0" fontId="24" fillId="0" borderId="19" xfId="3" applyFont="1" applyBorder="1" applyAlignment="1">
      <alignment vertical="center"/>
    </xf>
    <xf numFmtId="0" fontId="24" fillId="0" borderId="19" xfId="3" applyFont="1" applyBorder="1" applyAlignment="1">
      <alignment horizontal="center" vertical="center"/>
    </xf>
    <xf numFmtId="0" fontId="20" fillId="0" borderId="19" xfId="3" applyFont="1" applyBorder="1" applyAlignment="1">
      <alignment horizontal="center" vertical="center" shrinkToFit="1"/>
    </xf>
    <xf numFmtId="0" fontId="20" fillId="0" borderId="19" xfId="3" applyFont="1" applyBorder="1" applyAlignment="1">
      <alignment horizontal="right" vertical="center"/>
    </xf>
    <xf numFmtId="0" fontId="20" fillId="0" borderId="19" xfId="3" applyFont="1" applyBorder="1" applyAlignment="1">
      <alignment horizontal="left" vertical="center"/>
    </xf>
    <xf numFmtId="0" fontId="20" fillId="0" borderId="32" xfId="3" applyFont="1" applyBorder="1" applyAlignment="1">
      <alignment horizontal="center" vertical="center"/>
    </xf>
    <xf numFmtId="0" fontId="23" fillId="12" borderId="103" xfId="3" applyFont="1" applyFill="1" applyBorder="1" applyAlignment="1">
      <alignment vertical="center"/>
    </xf>
    <xf numFmtId="0" fontId="23" fillId="0" borderId="19" xfId="3" applyFont="1" applyBorder="1" applyAlignment="1">
      <alignment horizontal="center" vertical="center"/>
    </xf>
    <xf numFmtId="0" fontId="23" fillId="0" borderId="19" xfId="3" applyFont="1" applyBorder="1" applyAlignment="1">
      <alignment vertical="center"/>
    </xf>
    <xf numFmtId="0" fontId="23" fillId="12" borderId="19" xfId="3" applyFont="1" applyFill="1" applyBorder="1" applyAlignment="1">
      <alignment vertical="center"/>
    </xf>
    <xf numFmtId="0" fontId="23" fillId="12" borderId="19" xfId="3" applyFont="1" applyFill="1" applyBorder="1" applyAlignment="1">
      <alignment horizontal="center" vertical="center"/>
    </xf>
    <xf numFmtId="1" fontId="20" fillId="0" borderId="0" xfId="3" applyNumberFormat="1" applyFont="1" applyAlignment="1">
      <alignment vertical="center"/>
    </xf>
    <xf numFmtId="0" fontId="13" fillId="0" borderId="17" xfId="0" applyFont="1" applyBorder="1">
      <alignment vertical="center"/>
    </xf>
    <xf numFmtId="0" fontId="28" fillId="0" borderId="0" xfId="3" applyFont="1" applyAlignment="1">
      <alignment horizontal="left"/>
    </xf>
    <xf numFmtId="0" fontId="2" fillId="0" borderId="0" xfId="3" applyAlignment="1">
      <alignment horizontal="left"/>
    </xf>
    <xf numFmtId="0" fontId="6" fillId="0" borderId="0" xfId="3" applyFont="1" applyAlignment="1">
      <alignment horizontal="left" vertical="center"/>
    </xf>
    <xf numFmtId="0" fontId="5" fillId="14" borderId="179" xfId="3" applyFont="1" applyFill="1" applyBorder="1" applyAlignment="1">
      <alignment horizontal="center" vertical="center"/>
    </xf>
    <xf numFmtId="0" fontId="5" fillId="14" borderId="133" xfId="3" applyFont="1" applyFill="1" applyBorder="1" applyAlignment="1">
      <alignment horizontal="center" vertical="center"/>
    </xf>
    <xf numFmtId="0" fontId="5" fillId="3" borderId="131" xfId="3" applyFont="1" applyFill="1" applyBorder="1" applyAlignment="1">
      <alignment horizontal="center" vertical="center"/>
    </xf>
    <xf numFmtId="0" fontId="5" fillId="3" borderId="133" xfId="3" applyFont="1" applyFill="1" applyBorder="1" applyAlignment="1">
      <alignment horizontal="center" vertical="center"/>
    </xf>
    <xf numFmtId="196" fontId="2" fillId="13" borderId="131" xfId="3" applyNumberFormat="1" applyFill="1" applyBorder="1" applyAlignment="1" applyProtection="1">
      <alignment horizontal="left" shrinkToFit="1"/>
      <protection locked="0"/>
    </xf>
    <xf numFmtId="196" fontId="2" fillId="13" borderId="133" xfId="3" applyNumberFormat="1" applyFill="1" applyBorder="1" applyAlignment="1" applyProtection="1">
      <alignment horizontal="left" shrinkToFit="1"/>
      <protection locked="0"/>
    </xf>
    <xf numFmtId="14" fontId="2" fillId="0" borderId="0" xfId="3" applyNumberFormat="1"/>
    <xf numFmtId="0" fontId="4" fillId="2" borderId="180" xfId="3" applyFont="1" applyFill="1" applyBorder="1" applyAlignment="1">
      <alignment horizontal="center" vertical="center" shrinkToFit="1"/>
    </xf>
    <xf numFmtId="0" fontId="4" fillId="2" borderId="136" xfId="3" applyFont="1" applyFill="1" applyBorder="1" applyAlignment="1">
      <alignment horizontal="center" vertical="center" shrinkToFit="1"/>
    </xf>
    <xf numFmtId="0" fontId="4" fillId="0" borderId="0" xfId="3" applyFont="1" applyAlignment="1">
      <alignment shrinkToFit="1"/>
    </xf>
    <xf numFmtId="0" fontId="13" fillId="0" borderId="0" xfId="0" applyFont="1">
      <alignment vertical="center"/>
    </xf>
    <xf numFmtId="0" fontId="13" fillId="0" borderId="0" xfId="0" applyFont="1" applyAlignment="1">
      <alignment horizontal="center" vertical="center"/>
    </xf>
    <xf numFmtId="0" fontId="13" fillId="0" borderId="177" xfId="0" applyFont="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lignment vertical="center"/>
    </xf>
    <xf numFmtId="0" fontId="13" fillId="0" borderId="19" xfId="0" applyFont="1" applyBorder="1">
      <alignment vertical="center"/>
    </xf>
    <xf numFmtId="0" fontId="10" fillId="0" borderId="4" xfId="0" applyFont="1" applyBorder="1">
      <alignment vertical="center"/>
    </xf>
    <xf numFmtId="0" fontId="13" fillId="0" borderId="63" xfId="0" applyFont="1" applyBorder="1">
      <alignment vertical="center"/>
    </xf>
    <xf numFmtId="0" fontId="10" fillId="0" borderId="0" xfId="0" applyFont="1">
      <alignment vertical="center"/>
    </xf>
    <xf numFmtId="0" fontId="13" fillId="0" borderId="32" xfId="0" applyFont="1" applyBorder="1">
      <alignment vertical="center"/>
    </xf>
    <xf numFmtId="0" fontId="13" fillId="0" borderId="32" xfId="0" applyFont="1" applyBorder="1" applyAlignment="1">
      <alignment horizontal="center" vertical="center"/>
    </xf>
    <xf numFmtId="0" fontId="10" fillId="0" borderId="17" xfId="0" applyFont="1" applyBorder="1">
      <alignment vertical="center"/>
    </xf>
    <xf numFmtId="0" fontId="10" fillId="0" borderId="0" xfId="0" applyFont="1" applyAlignment="1">
      <alignment horizontal="center" vertical="center"/>
    </xf>
    <xf numFmtId="0" fontId="30" fillId="0" borderId="0" xfId="0" applyFont="1">
      <alignment vertical="center"/>
    </xf>
    <xf numFmtId="180" fontId="10" fillId="0" borderId="0" xfId="0" applyNumberFormat="1" applyFont="1" applyAlignment="1">
      <alignment vertical="center" shrinkToFit="1"/>
    </xf>
    <xf numFmtId="0" fontId="10" fillId="0" borderId="0" xfId="0" applyFont="1" applyAlignment="1">
      <alignment vertical="center" shrinkToFit="1"/>
    </xf>
    <xf numFmtId="0" fontId="10" fillId="0" borderId="14" xfId="0" applyFont="1" applyBorder="1" applyAlignment="1">
      <alignment horizontal="center" vertical="center"/>
    </xf>
    <xf numFmtId="14" fontId="10" fillId="0" borderId="0" xfId="0" applyNumberFormat="1" applyFont="1" applyAlignment="1">
      <alignment horizontal="center" vertical="center"/>
    </xf>
    <xf numFmtId="0" fontId="41" fillId="0" borderId="0" xfId="3" applyFont="1" applyAlignment="1">
      <alignment horizontal="right" vertical="center" textRotation="180" shrinkToFit="1"/>
    </xf>
    <xf numFmtId="0" fontId="41" fillId="2" borderId="0" xfId="3" applyFont="1" applyFill="1" applyAlignment="1">
      <alignment vertical="center" shrinkToFit="1"/>
    </xf>
    <xf numFmtId="0" fontId="4" fillId="2" borderId="4" xfId="3" applyFont="1" applyFill="1" applyBorder="1" applyAlignment="1">
      <alignment horizontal="center" vertical="center" shrinkToFit="1"/>
    </xf>
    <xf numFmtId="0" fontId="4" fillId="0" borderId="4" xfId="3" applyFont="1" applyBorder="1" applyAlignment="1">
      <alignment shrinkToFit="1"/>
    </xf>
    <xf numFmtId="0" fontId="41" fillId="0" borderId="0" xfId="3" applyFont="1" applyAlignment="1">
      <alignment vertical="center" shrinkToFit="1"/>
    </xf>
    <xf numFmtId="0" fontId="4" fillId="0" borderId="0" xfId="3" applyFont="1" applyAlignment="1">
      <alignment horizontal="right" vertical="center" textRotation="180" shrinkToFit="1"/>
    </xf>
    <xf numFmtId="0" fontId="41" fillId="2" borderId="40" xfId="3" applyFont="1" applyFill="1" applyBorder="1" applyAlignment="1">
      <alignment horizontal="right" vertical="center" shrinkToFit="1"/>
    </xf>
    <xf numFmtId="0" fontId="4" fillId="2" borderId="0" xfId="3" applyFont="1" applyFill="1" applyAlignment="1">
      <alignment vertical="center" shrinkToFit="1"/>
    </xf>
    <xf numFmtId="0" fontId="4" fillId="0" borderId="0" xfId="3" applyFont="1" applyAlignment="1">
      <alignment vertical="top" textRotation="180" shrinkToFit="1"/>
    </xf>
    <xf numFmtId="0" fontId="4" fillId="2" borderId="0" xfId="3" applyFont="1" applyFill="1" applyAlignment="1">
      <alignment horizontal="right" vertical="center"/>
    </xf>
    <xf numFmtId="0" fontId="4" fillId="2" borderId="0" xfId="3" applyFont="1" applyFill="1" applyAlignment="1">
      <alignment shrinkToFit="1"/>
    </xf>
    <xf numFmtId="197" fontId="4" fillId="0" borderId="0" xfId="3" applyNumberFormat="1" applyFont="1" applyAlignment="1">
      <alignment horizontal="center" vertical="center" shrinkToFit="1"/>
    </xf>
    <xf numFmtId="197" fontId="4" fillId="0" borderId="0" xfId="3" applyNumberFormat="1" applyFont="1" applyAlignment="1">
      <alignment shrinkToFit="1"/>
    </xf>
    <xf numFmtId="0" fontId="8" fillId="2" borderId="0" xfId="3" applyFont="1" applyFill="1" applyAlignment="1">
      <alignment vertical="center" shrinkToFit="1"/>
    </xf>
    <xf numFmtId="49" fontId="30" fillId="0" borderId="4" xfId="9" applyNumberFormat="1" applyFont="1" applyBorder="1" applyAlignment="1">
      <alignment horizontal="center" vertical="center" shrinkToFit="1"/>
    </xf>
    <xf numFmtId="49" fontId="26" fillId="0" borderId="4" xfId="9" applyNumberFormat="1" applyFont="1" applyBorder="1" applyAlignment="1">
      <alignment vertical="center" shrinkToFit="1"/>
    </xf>
    <xf numFmtId="49" fontId="30" fillId="0" borderId="4" xfId="9" applyNumberFormat="1" applyFont="1" applyBorder="1" applyAlignment="1">
      <alignment vertical="center" shrinkToFit="1"/>
    </xf>
    <xf numFmtId="49" fontId="31" fillId="0" borderId="4" xfId="9" applyNumberFormat="1" applyFont="1" applyBorder="1" applyAlignment="1">
      <alignment vertical="center" shrinkToFit="1"/>
    </xf>
    <xf numFmtId="0" fontId="30" fillId="0" borderId="0" xfId="9" applyFont="1">
      <alignment vertical="center"/>
    </xf>
    <xf numFmtId="49" fontId="32" fillId="0" borderId="0" xfId="2" applyNumberFormat="1" applyFont="1" applyFill="1" applyBorder="1" applyAlignment="1" applyProtection="1">
      <alignment horizontal="right" vertical="center" shrinkToFit="1"/>
    </xf>
    <xf numFmtId="0" fontId="13" fillId="0" borderId="18" xfId="0" applyFont="1" applyBorder="1">
      <alignment vertical="center"/>
    </xf>
    <xf numFmtId="0" fontId="13" fillId="0" borderId="6" xfId="0" applyFont="1" applyBorder="1">
      <alignment vertical="center"/>
    </xf>
    <xf numFmtId="0" fontId="13" fillId="0" borderId="0" xfId="3" applyFont="1" applyAlignment="1">
      <alignment vertical="center"/>
    </xf>
    <xf numFmtId="0" fontId="30" fillId="0" borderId="4" xfId="0" applyFont="1" applyBorder="1" applyAlignment="1">
      <alignment vertical="center" shrinkToFit="1"/>
    </xf>
    <xf numFmtId="0" fontId="13" fillId="0" borderId="3" xfId="0" applyFont="1" applyBorder="1" applyAlignment="1">
      <alignment vertical="center" shrinkToFit="1"/>
    </xf>
    <xf numFmtId="0" fontId="10" fillId="0" borderId="5" xfId="0" applyFont="1" applyBorder="1" applyAlignment="1">
      <alignment vertical="center" shrinkToFit="1"/>
    </xf>
    <xf numFmtId="0" fontId="13" fillId="0" borderId="0" xfId="0" applyFont="1" applyAlignment="1">
      <alignment horizontal="left" vertical="center" wrapText="1"/>
    </xf>
    <xf numFmtId="0" fontId="13" fillId="0" borderId="193" xfId="0" applyFont="1" applyBorder="1" applyAlignment="1">
      <alignment horizontal="left" vertical="center" wrapText="1"/>
    </xf>
    <xf numFmtId="14" fontId="13" fillId="4" borderId="211" xfId="3" applyNumberFormat="1" applyFont="1" applyFill="1" applyBorder="1" applyAlignment="1" applyProtection="1">
      <alignment vertical="center" shrinkToFit="1"/>
      <protection locked="0"/>
    </xf>
    <xf numFmtId="0" fontId="4" fillId="2" borderId="218" xfId="3" applyFont="1" applyFill="1" applyBorder="1" applyAlignment="1">
      <alignment horizontal="center" vertical="center" shrinkToFit="1"/>
    </xf>
    <xf numFmtId="198" fontId="32" fillId="4" borderId="222" xfId="3" applyNumberFormat="1" applyFont="1" applyFill="1" applyBorder="1" applyAlignment="1" applyProtection="1">
      <alignment horizontal="right" vertical="center" shrinkToFit="1"/>
      <protection locked="0"/>
    </xf>
    <xf numFmtId="0" fontId="4" fillId="2" borderId="224" xfId="3" applyFont="1" applyFill="1" applyBorder="1" applyAlignment="1">
      <alignment horizontal="center" vertical="center" shrinkToFit="1"/>
    </xf>
    <xf numFmtId="198" fontId="32" fillId="4" borderId="202" xfId="3" applyNumberFormat="1" applyFont="1" applyFill="1" applyBorder="1" applyAlignment="1" applyProtection="1">
      <alignment horizontal="right" vertical="center" shrinkToFit="1"/>
      <protection locked="0"/>
    </xf>
    <xf numFmtId="0" fontId="4" fillId="2" borderId="226" xfId="3" applyFont="1" applyFill="1" applyBorder="1" applyAlignment="1">
      <alignment horizontal="center" vertical="center" shrinkToFit="1"/>
    </xf>
    <xf numFmtId="198" fontId="32" fillId="4" borderId="204" xfId="3" applyNumberFormat="1" applyFont="1" applyFill="1" applyBorder="1" applyAlignment="1" applyProtection="1">
      <alignment horizontal="right" vertical="center" shrinkToFit="1"/>
      <protection locked="0"/>
    </xf>
    <xf numFmtId="0" fontId="10" fillId="6" borderId="221" xfId="0" applyFont="1" applyFill="1" applyBorder="1" applyAlignment="1" applyProtection="1">
      <alignment horizontal="center" vertical="center" shrinkToFit="1"/>
      <protection locked="0"/>
    </xf>
    <xf numFmtId="0" fontId="10" fillId="6" borderId="212" xfId="0" applyFont="1" applyFill="1" applyBorder="1" applyAlignment="1" applyProtection="1">
      <alignment horizontal="center" vertical="center" shrinkToFit="1"/>
      <protection locked="0"/>
    </xf>
    <xf numFmtId="0" fontId="10" fillId="6" borderId="228" xfId="0" applyFont="1" applyFill="1" applyBorder="1" applyAlignment="1" applyProtection="1">
      <alignment horizontal="center" vertical="center" shrinkToFit="1"/>
      <protection locked="0"/>
    </xf>
    <xf numFmtId="0" fontId="0" fillId="0" borderId="4" xfId="0" applyBorder="1">
      <alignment vertical="center"/>
    </xf>
    <xf numFmtId="0" fontId="0" fillId="0" borderId="4" xfId="0" applyBorder="1" applyAlignment="1">
      <alignment horizontal="center" vertical="center"/>
    </xf>
    <xf numFmtId="14" fontId="0" fillId="0" borderId="4" xfId="0" applyNumberFormat="1" applyBorder="1">
      <alignment vertical="center"/>
    </xf>
    <xf numFmtId="0" fontId="0" fillId="0" borderId="23" xfId="0" applyBorder="1">
      <alignment vertical="center"/>
    </xf>
    <xf numFmtId="0" fontId="0" fillId="0" borderId="25" xfId="0" applyBorder="1">
      <alignment vertical="center"/>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13" fillId="0" borderId="18" xfId="0" applyFont="1" applyBorder="1" applyAlignment="1">
      <alignment horizontal="center" vertical="center" wrapText="1"/>
    </xf>
    <xf numFmtId="0" fontId="13" fillId="2" borderId="0" xfId="3" applyFont="1" applyFill="1" applyAlignment="1">
      <alignment shrinkToFit="1"/>
    </xf>
    <xf numFmtId="0" fontId="13" fillId="2" borderId="0" xfId="3" applyFont="1" applyFill="1" applyAlignment="1">
      <alignment horizontal="left"/>
    </xf>
    <xf numFmtId="0" fontId="4" fillId="0" borderId="198" xfId="3" applyFont="1" applyBorder="1" applyAlignment="1">
      <alignment shrinkToFit="1"/>
    </xf>
    <xf numFmtId="0" fontId="36" fillId="2" borderId="0" xfId="3" applyFont="1" applyFill="1" applyAlignment="1">
      <alignment vertical="center"/>
    </xf>
    <xf numFmtId="0" fontId="13" fillId="0" borderId="0" xfId="0" applyFont="1" applyAlignment="1">
      <alignment vertical="center" shrinkToFit="1"/>
    </xf>
    <xf numFmtId="0" fontId="13" fillId="0" borderId="4" xfId="0" applyFont="1" applyBorder="1" applyAlignment="1">
      <alignment horizontal="center" vertical="center"/>
    </xf>
    <xf numFmtId="0" fontId="13" fillId="0" borderId="186" xfId="0" applyFont="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xf>
    <xf numFmtId="0" fontId="30" fillId="0" borderId="0" xfId="0" applyFont="1" applyAlignment="1">
      <alignment horizontal="left" vertical="center"/>
    </xf>
    <xf numFmtId="0" fontId="13" fillId="0" borderId="0" xfId="0" applyFont="1" applyAlignment="1">
      <alignment horizontal="center" vertical="center" shrinkToFit="1"/>
    </xf>
    <xf numFmtId="0" fontId="13" fillId="0" borderId="74" xfId="0" applyFont="1" applyBorder="1" applyAlignment="1">
      <alignment horizontal="center" vertical="center" shrinkToFit="1"/>
    </xf>
    <xf numFmtId="0" fontId="4" fillId="0" borderId="4" xfId="3" applyFont="1" applyBorder="1" applyAlignment="1">
      <alignment horizontal="center" vertical="center" shrinkToFit="1"/>
    </xf>
    <xf numFmtId="0" fontId="30" fillId="0" borderId="16" xfId="0" applyFont="1" applyBorder="1" applyAlignment="1">
      <alignment horizontal="center" vertical="center" shrinkToFit="1"/>
    </xf>
    <xf numFmtId="0" fontId="50" fillId="2" borderId="0" xfId="0" applyFont="1" applyFill="1">
      <alignment vertical="center"/>
    </xf>
    <xf numFmtId="0" fontId="30" fillId="2" borderId="0" xfId="0" applyFont="1" applyFill="1">
      <alignment vertical="center"/>
    </xf>
    <xf numFmtId="0" fontId="30" fillId="0" borderId="21" xfId="0" applyFont="1" applyBorder="1" applyAlignment="1">
      <alignment vertical="center" shrinkToFit="1"/>
    </xf>
    <xf numFmtId="0" fontId="30" fillId="0" borderId="0" xfId="0" applyFont="1" applyAlignment="1">
      <alignment vertical="center" shrinkToFit="1"/>
    </xf>
    <xf numFmtId="0" fontId="26" fillId="2" borderId="0" xfId="0" applyFont="1" applyFill="1">
      <alignment vertical="center"/>
    </xf>
    <xf numFmtId="0" fontId="30" fillId="2" borderId="0" xfId="0" applyFont="1" applyFill="1" applyAlignment="1">
      <alignment vertical="center" shrinkToFit="1"/>
    </xf>
    <xf numFmtId="0" fontId="52" fillId="2" borderId="0" xfId="0" applyFont="1" applyFill="1">
      <alignment vertical="center"/>
    </xf>
    <xf numFmtId="199" fontId="52" fillId="2" borderId="10" xfId="0" applyNumberFormat="1" applyFont="1" applyFill="1" applyBorder="1" applyAlignment="1">
      <alignment horizontal="center" vertical="center"/>
    </xf>
    <xf numFmtId="0" fontId="13" fillId="2" borderId="0" xfId="3" applyFont="1" applyFill="1" applyAlignment="1">
      <alignment horizontal="center" vertical="center"/>
    </xf>
    <xf numFmtId="0" fontId="17" fillId="2" borderId="0" xfId="3" applyFont="1" applyFill="1" applyAlignment="1">
      <alignment horizontal="center" vertical="center" shrinkToFit="1"/>
    </xf>
    <xf numFmtId="0" fontId="52" fillId="15" borderId="131" xfId="0" applyFont="1" applyFill="1" applyBorder="1" applyAlignment="1">
      <alignment horizontal="center" vertical="center" shrinkToFit="1"/>
    </xf>
    <xf numFmtId="0" fontId="52" fillId="15" borderId="261" xfId="0" applyFont="1" applyFill="1" applyBorder="1" applyAlignment="1">
      <alignment horizontal="center" vertical="center"/>
    </xf>
    <xf numFmtId="0" fontId="52" fillId="15" borderId="133" xfId="0" applyFont="1" applyFill="1" applyBorder="1" applyAlignment="1">
      <alignment horizontal="center" vertical="center"/>
    </xf>
    <xf numFmtId="0" fontId="52" fillId="15" borderId="131" xfId="0" applyFont="1" applyFill="1" applyBorder="1" applyAlignment="1">
      <alignment horizontal="center" vertical="center"/>
    </xf>
    <xf numFmtId="0" fontId="30" fillId="0" borderId="40" xfId="0" applyFont="1" applyBorder="1" applyAlignment="1">
      <alignment horizontal="center" vertical="center" shrinkToFit="1"/>
    </xf>
    <xf numFmtId="200" fontId="30" fillId="2" borderId="263" xfId="0" applyNumberFormat="1" applyFont="1" applyFill="1" applyBorder="1" applyAlignment="1">
      <alignment horizontal="center" vertical="center"/>
    </xf>
    <xf numFmtId="201" fontId="30" fillId="2" borderId="263" xfId="0" applyNumberFormat="1" applyFont="1" applyFill="1" applyBorder="1" applyAlignment="1">
      <alignment horizontal="center" vertical="center"/>
    </xf>
    <xf numFmtId="201" fontId="30" fillId="2" borderId="264" xfId="0" applyNumberFormat="1" applyFont="1" applyFill="1" applyBorder="1" applyAlignment="1">
      <alignment horizontal="center" vertical="center"/>
    </xf>
    <xf numFmtId="38" fontId="30" fillId="4" borderId="262" xfId="4" applyFont="1" applyFill="1" applyBorder="1" applyAlignment="1" applyProtection="1">
      <alignment horizontal="center" vertical="center"/>
      <protection locked="0"/>
    </xf>
    <xf numFmtId="0" fontId="30" fillId="2" borderId="264" xfId="0" applyFont="1" applyFill="1" applyBorder="1" applyAlignment="1">
      <alignment horizontal="center" vertical="center"/>
    </xf>
    <xf numFmtId="0" fontId="13" fillId="0" borderId="6" xfId="3" applyFont="1" applyBorder="1" applyAlignment="1">
      <alignment horizontal="center" vertical="center" shrinkToFit="1"/>
    </xf>
    <xf numFmtId="200" fontId="30" fillId="2" borderId="266" xfId="0" applyNumberFormat="1" applyFont="1" applyFill="1" applyBorder="1" applyAlignment="1">
      <alignment horizontal="center" vertical="center"/>
    </xf>
    <xf numFmtId="201" fontId="30" fillId="2" borderId="266" xfId="0" applyNumberFormat="1" applyFont="1" applyFill="1" applyBorder="1" applyAlignment="1">
      <alignment horizontal="center" vertical="center"/>
    </xf>
    <xf numFmtId="201" fontId="30" fillId="2" borderId="267" xfId="0" applyNumberFormat="1" applyFont="1" applyFill="1" applyBorder="1" applyAlignment="1">
      <alignment horizontal="center" vertical="center"/>
    </xf>
    <xf numFmtId="38" fontId="30" fillId="4" borderId="265" xfId="4" applyFont="1" applyFill="1" applyBorder="1" applyAlignment="1" applyProtection="1">
      <alignment horizontal="center" vertical="center"/>
      <protection locked="0"/>
    </xf>
    <xf numFmtId="0" fontId="30" fillId="2" borderId="267" xfId="0" applyFont="1" applyFill="1" applyBorder="1" applyAlignment="1">
      <alignment horizontal="center" vertical="center"/>
    </xf>
    <xf numFmtId="0" fontId="30" fillId="0" borderId="6" xfId="0" applyFont="1" applyBorder="1" applyAlignment="1">
      <alignment horizontal="center" vertical="center" shrinkToFit="1"/>
    </xf>
    <xf numFmtId="0" fontId="30" fillId="0" borderId="4" xfId="0" applyFont="1" applyBorder="1" applyAlignment="1">
      <alignment horizontal="center" vertical="center" shrinkToFit="1"/>
    </xf>
    <xf numFmtId="200" fontId="30" fillId="2" borderId="269" xfId="0" applyNumberFormat="1" applyFont="1" applyFill="1" applyBorder="1" applyAlignment="1">
      <alignment horizontal="center" vertical="center"/>
    </xf>
    <xf numFmtId="201" fontId="30" fillId="2" borderId="269" xfId="0" applyNumberFormat="1" applyFont="1" applyFill="1" applyBorder="1" applyAlignment="1">
      <alignment horizontal="center" vertical="center"/>
    </xf>
    <xf numFmtId="201" fontId="30" fillId="2" borderId="270" xfId="0" applyNumberFormat="1" applyFont="1" applyFill="1" applyBorder="1" applyAlignment="1">
      <alignment horizontal="center" vertical="center"/>
    </xf>
    <xf numFmtId="0" fontId="30" fillId="4" borderId="268" xfId="0" applyFont="1" applyFill="1" applyBorder="1" applyAlignment="1" applyProtection="1">
      <alignment horizontal="center" vertical="center"/>
      <protection locked="0"/>
    </xf>
    <xf numFmtId="0" fontId="30" fillId="2" borderId="270" xfId="0" applyFont="1" applyFill="1" applyBorder="1" applyAlignment="1">
      <alignment horizontal="center" vertical="center"/>
    </xf>
    <xf numFmtId="201" fontId="30" fillId="2" borderId="133" xfId="0" applyNumberFormat="1" applyFont="1" applyFill="1" applyBorder="1" applyAlignment="1">
      <alignment horizontal="center" vertical="center"/>
    </xf>
    <xf numFmtId="0" fontId="30" fillId="2" borderId="271" xfId="0" applyFont="1" applyFill="1" applyBorder="1">
      <alignment vertical="center"/>
    </xf>
    <xf numFmtId="0" fontId="52" fillId="2" borderId="182" xfId="0" applyFont="1" applyFill="1" applyBorder="1" applyAlignment="1">
      <alignment horizontal="center" vertical="center"/>
    </xf>
    <xf numFmtId="201" fontId="30" fillId="2" borderId="0" xfId="0" applyNumberFormat="1" applyFont="1" applyFill="1" applyAlignment="1">
      <alignment horizontal="center" vertical="center"/>
    </xf>
    <xf numFmtId="0" fontId="30" fillId="2" borderId="198" xfId="0" applyFont="1" applyFill="1" applyBorder="1" applyAlignment="1">
      <alignment horizontal="center" vertical="center"/>
    </xf>
    <xf numFmtId="0" fontId="52" fillId="2" borderId="183" xfId="0" applyFont="1" applyFill="1" applyBorder="1" applyAlignment="1">
      <alignment horizontal="center" vertical="center"/>
    </xf>
    <xf numFmtId="0" fontId="30" fillId="2" borderId="0" xfId="0" applyFont="1" applyFill="1" applyAlignment="1">
      <alignment horizontal="center" vertical="center"/>
    </xf>
    <xf numFmtId="0" fontId="17" fillId="2" borderId="183" xfId="3" applyFont="1" applyFill="1" applyBorder="1" applyAlignment="1">
      <alignment horizontal="center" vertical="center"/>
    </xf>
    <xf numFmtId="0" fontId="13" fillId="2" borderId="0" xfId="0" applyFont="1" applyFill="1" applyAlignment="1">
      <alignment horizontal="left" vertical="center"/>
    </xf>
    <xf numFmtId="0" fontId="53" fillId="2" borderId="0" xfId="3" applyFont="1" applyFill="1" applyAlignment="1">
      <alignment horizontal="left" vertical="center"/>
    </xf>
    <xf numFmtId="0" fontId="54" fillId="2" borderId="0" xfId="0" applyFont="1" applyFill="1">
      <alignment vertical="center"/>
    </xf>
    <xf numFmtId="0" fontId="45" fillId="0" borderId="0" xfId="0" applyFont="1">
      <alignment vertical="center"/>
    </xf>
    <xf numFmtId="0" fontId="45" fillId="0" borderId="4" xfId="0" applyFont="1" applyBorder="1">
      <alignment vertical="center"/>
    </xf>
    <xf numFmtId="0" fontId="45" fillId="0" borderId="186" xfId="0" applyFont="1" applyBorder="1">
      <alignment vertical="center"/>
    </xf>
    <xf numFmtId="0" fontId="54" fillId="2" borderId="131" xfId="0" applyFont="1" applyFill="1" applyBorder="1" applyAlignment="1">
      <alignment horizontal="center" vertical="center"/>
    </xf>
    <xf numFmtId="0" fontId="54" fillId="2" borderId="261" xfId="0" applyFont="1" applyFill="1" applyBorder="1" applyAlignment="1">
      <alignment horizontal="center" vertical="center"/>
    </xf>
    <xf numFmtId="0" fontId="54" fillId="2" borderId="130" xfId="0" applyFont="1" applyFill="1" applyBorder="1" applyAlignment="1">
      <alignment horizontal="center" vertical="center"/>
    </xf>
    <xf numFmtId="0" fontId="54" fillId="2" borderId="199" xfId="0" applyFont="1" applyFill="1" applyBorder="1" applyAlignment="1">
      <alignment horizontal="center" vertical="center"/>
    </xf>
    <xf numFmtId="0" fontId="54" fillId="2" borderId="275" xfId="0" applyFont="1" applyFill="1" applyBorder="1" applyAlignment="1">
      <alignment horizontal="right" vertical="center" shrinkToFit="1"/>
    </xf>
    <xf numFmtId="0" fontId="54" fillId="2" borderId="276" xfId="0" applyFont="1" applyFill="1" applyBorder="1" applyAlignment="1">
      <alignment horizontal="right" vertical="center" shrinkToFit="1"/>
    </xf>
    <xf numFmtId="0" fontId="54" fillId="2" borderId="277" xfId="0" applyFont="1" applyFill="1" applyBorder="1" applyAlignment="1">
      <alignment horizontal="right" vertical="center" shrinkToFit="1"/>
    </xf>
    <xf numFmtId="38" fontId="54" fillId="2" borderId="278" xfId="4" applyFont="1" applyFill="1" applyBorder="1" applyAlignment="1" applyProtection="1">
      <alignment horizontal="right" vertical="center" shrinkToFit="1"/>
    </xf>
    <xf numFmtId="0" fontId="54" fillId="4" borderId="279" xfId="0" applyFont="1" applyFill="1" applyBorder="1" applyAlignment="1" applyProtection="1">
      <alignment horizontal="right" vertical="center" shrinkToFit="1"/>
      <protection locked="0"/>
    </xf>
    <xf numFmtId="0" fontId="54" fillId="4" borderId="280" xfId="0" applyFont="1" applyFill="1" applyBorder="1" applyAlignment="1" applyProtection="1">
      <alignment horizontal="right" vertical="center" shrinkToFit="1"/>
      <protection locked="0"/>
    </xf>
    <xf numFmtId="0" fontId="54" fillId="4" borderId="281" xfId="0" applyFont="1" applyFill="1" applyBorder="1" applyAlignment="1" applyProtection="1">
      <alignment horizontal="right" vertical="center" shrinkToFit="1"/>
      <protection locked="0"/>
    </xf>
    <xf numFmtId="38" fontId="54" fillId="0" borderId="282" xfId="4" applyFont="1" applyFill="1" applyBorder="1" applyAlignment="1" applyProtection="1">
      <alignment horizontal="right" vertical="center" shrinkToFit="1"/>
    </xf>
    <xf numFmtId="0" fontId="54" fillId="0" borderId="279" xfId="0" applyFont="1" applyBorder="1" applyAlignment="1">
      <alignment horizontal="center" vertical="center" shrinkToFit="1"/>
    </xf>
    <xf numFmtId="0" fontId="54" fillId="0" borderId="280" xfId="0" applyFont="1" applyBorder="1" applyAlignment="1">
      <alignment horizontal="center" vertical="center" shrinkToFit="1"/>
    </xf>
    <xf numFmtId="0" fontId="54" fillId="0" borderId="283" xfId="0" applyFont="1" applyBorder="1" applyAlignment="1">
      <alignment horizontal="center" vertical="center" shrinkToFit="1"/>
    </xf>
    <xf numFmtId="0" fontId="54" fillId="0" borderId="284" xfId="0" applyFont="1" applyBorder="1" applyAlignment="1">
      <alignment horizontal="center" vertical="center" shrinkToFit="1"/>
    </xf>
    <xf numFmtId="208" fontId="54" fillId="0" borderId="285" xfId="0" applyNumberFormat="1" applyFont="1" applyBorder="1" applyAlignment="1">
      <alignment horizontal="center" vertical="center" shrinkToFit="1"/>
    </xf>
    <xf numFmtId="0" fontId="45" fillId="2" borderId="0" xfId="0" applyFont="1" applyFill="1">
      <alignment vertical="center"/>
    </xf>
    <xf numFmtId="0" fontId="17" fillId="2" borderId="0" xfId="3" applyFont="1" applyFill="1" applyAlignment="1">
      <alignment vertical="center"/>
    </xf>
    <xf numFmtId="0" fontId="13" fillId="2" borderId="0" xfId="3" applyFont="1" applyFill="1" applyAlignment="1">
      <alignment vertical="center"/>
    </xf>
    <xf numFmtId="0" fontId="13" fillId="2" borderId="0" xfId="0" applyFont="1" applyFill="1" applyAlignment="1">
      <alignment vertical="center" shrinkToFit="1"/>
    </xf>
    <xf numFmtId="0" fontId="57" fillId="2" borderId="0" xfId="3" applyFont="1" applyFill="1" applyAlignment="1">
      <alignment vertical="center"/>
    </xf>
    <xf numFmtId="0" fontId="13" fillId="2" borderId="0" xfId="3" applyFont="1" applyFill="1" applyAlignment="1">
      <alignment horizontal="right" vertical="center"/>
    </xf>
    <xf numFmtId="0" fontId="13" fillId="2" borderId="1" xfId="3" applyFont="1" applyFill="1" applyBorder="1" applyAlignment="1">
      <alignment horizontal="center" vertical="center" wrapText="1"/>
    </xf>
    <xf numFmtId="0" fontId="13" fillId="3" borderId="252" xfId="3" applyFont="1" applyFill="1" applyBorder="1" applyAlignment="1">
      <alignment horizontal="center" vertical="center"/>
    </xf>
    <xf numFmtId="0" fontId="13" fillId="3" borderId="253" xfId="3" applyFont="1" applyFill="1" applyBorder="1" applyAlignment="1">
      <alignment horizontal="center" vertical="center"/>
    </xf>
    <xf numFmtId="0" fontId="13" fillId="3" borderId="290" xfId="3" applyFont="1" applyFill="1" applyBorder="1" applyAlignment="1">
      <alignment horizontal="center" vertical="center"/>
    </xf>
    <xf numFmtId="0" fontId="13" fillId="3" borderId="291" xfId="3" applyFont="1" applyFill="1" applyBorder="1" applyAlignment="1">
      <alignment horizontal="center" vertical="center"/>
    </xf>
    <xf numFmtId="0" fontId="45" fillId="2" borderId="294" xfId="0" applyFont="1" applyFill="1" applyBorder="1">
      <alignment vertical="center"/>
    </xf>
    <xf numFmtId="0" fontId="45" fillId="2" borderId="295" xfId="0" applyFont="1" applyFill="1" applyBorder="1">
      <alignment vertical="center"/>
    </xf>
    <xf numFmtId="2" fontId="58" fillId="2" borderId="212" xfId="3" applyNumberFormat="1" applyFont="1" applyFill="1" applyBorder="1" applyAlignment="1">
      <alignment vertical="center"/>
    </xf>
    <xf numFmtId="0" fontId="45" fillId="2" borderId="298" xfId="0" applyFont="1" applyFill="1" applyBorder="1">
      <alignment vertical="center"/>
    </xf>
    <xf numFmtId="0" fontId="45" fillId="2" borderId="299" xfId="0" applyFont="1" applyFill="1" applyBorder="1">
      <alignment vertical="center"/>
    </xf>
    <xf numFmtId="2" fontId="58" fillId="2" borderId="215" xfId="3" applyNumberFormat="1" applyFont="1" applyFill="1" applyBorder="1" applyAlignment="1">
      <alignment vertical="center"/>
    </xf>
    <xf numFmtId="0" fontId="13" fillId="2" borderId="0" xfId="3" applyFont="1" applyFill="1" applyAlignment="1">
      <alignment vertical="center" shrinkToFit="1"/>
    </xf>
    <xf numFmtId="0" fontId="45" fillId="2" borderId="0" xfId="0" applyFont="1" applyFill="1" applyAlignment="1">
      <alignment horizontal="right" vertical="center"/>
    </xf>
    <xf numFmtId="0" fontId="58" fillId="2" borderId="0" xfId="3" applyFont="1" applyFill="1" applyAlignment="1">
      <alignment horizontal="right" vertical="center" shrinkToFit="1"/>
    </xf>
    <xf numFmtId="2" fontId="58" fillId="0" borderId="0" xfId="3" applyNumberFormat="1" applyFont="1" applyAlignment="1">
      <alignment vertical="center"/>
    </xf>
    <xf numFmtId="2" fontId="58" fillId="0" borderId="0" xfId="3" applyNumberFormat="1" applyFont="1" applyAlignment="1">
      <alignment horizontal="center" vertical="center"/>
    </xf>
    <xf numFmtId="0" fontId="13" fillId="0" borderId="0" xfId="3" applyFont="1" applyAlignment="1">
      <alignment horizontal="left" vertical="center"/>
    </xf>
    <xf numFmtId="2" fontId="58" fillId="2" borderId="0" xfId="3" applyNumberFormat="1" applyFont="1" applyFill="1" applyAlignment="1">
      <alignment vertical="center"/>
    </xf>
    <xf numFmtId="2" fontId="58" fillId="2" borderId="0" xfId="3" applyNumberFormat="1" applyFont="1" applyFill="1" applyAlignment="1">
      <alignment horizontal="center" vertical="center"/>
    </xf>
    <xf numFmtId="0" fontId="30" fillId="0" borderId="25" xfId="0" applyFont="1" applyBorder="1" applyAlignment="1">
      <alignment horizontal="center" vertical="center" shrinkToFit="1"/>
    </xf>
    <xf numFmtId="0" fontId="30" fillId="0" borderId="302" xfId="0" applyFont="1" applyBorder="1" applyAlignment="1">
      <alignment horizontal="center" vertical="center" shrinkToFit="1"/>
    </xf>
    <xf numFmtId="0" fontId="30" fillId="0" borderId="302" xfId="0" applyFont="1" applyBorder="1" applyAlignment="1">
      <alignment horizontal="center" vertical="center"/>
    </xf>
    <xf numFmtId="0" fontId="30" fillId="0" borderId="303" xfId="0" applyFont="1" applyBorder="1" applyAlignment="1">
      <alignment horizontal="center" vertical="center"/>
    </xf>
    <xf numFmtId="0" fontId="30" fillId="0" borderId="304" xfId="0" applyFont="1" applyBorder="1" applyAlignment="1">
      <alignment horizontal="center" vertical="center"/>
    </xf>
    <xf numFmtId="0" fontId="30" fillId="0" borderId="46" xfId="0" applyFont="1" applyBorder="1" applyAlignment="1">
      <alignment horizontal="center" vertical="center" shrinkToFit="1"/>
    </xf>
    <xf numFmtId="0" fontId="30" fillId="0" borderId="75" xfId="0" applyFont="1" applyBorder="1" applyAlignment="1">
      <alignment horizontal="center" vertical="center" shrinkToFit="1"/>
    </xf>
    <xf numFmtId="0" fontId="30" fillId="0" borderId="3" xfId="0" applyFont="1" applyBorder="1" applyAlignment="1">
      <alignment horizontal="center" vertical="center" shrinkToFit="1"/>
    </xf>
    <xf numFmtId="0" fontId="30" fillId="0" borderId="47" xfId="0" applyFont="1" applyBorder="1" applyAlignment="1">
      <alignment horizontal="center" vertical="center" shrinkToFit="1"/>
    </xf>
    <xf numFmtId="0" fontId="30" fillId="0" borderId="306" xfId="0" applyFont="1" applyBorder="1">
      <alignment vertical="center"/>
    </xf>
    <xf numFmtId="0" fontId="30" fillId="0" borderId="50" xfId="0" applyFont="1" applyBorder="1">
      <alignment vertical="center"/>
    </xf>
    <xf numFmtId="0" fontId="30" fillId="0" borderId="307" xfId="0" applyFont="1" applyBorder="1" applyAlignment="1">
      <alignment horizontal="center" vertical="center" shrinkToFit="1"/>
    </xf>
    <xf numFmtId="0" fontId="30" fillId="0" borderId="95" xfId="0" applyFont="1" applyBorder="1" applyAlignment="1">
      <alignment horizontal="center" vertical="center" shrinkToFit="1"/>
    </xf>
    <xf numFmtId="0" fontId="30" fillId="0" borderId="308" xfId="0" applyFont="1" applyBorder="1">
      <alignment vertical="center"/>
    </xf>
    <xf numFmtId="0" fontId="30" fillId="0" borderId="309" xfId="0" applyFont="1" applyBorder="1" applyAlignment="1">
      <alignment vertical="center" shrinkToFit="1"/>
    </xf>
    <xf numFmtId="0" fontId="30" fillId="0" borderId="74" xfId="0" applyFont="1" applyBorder="1" applyAlignment="1">
      <alignment horizontal="center" vertical="center" shrinkToFit="1"/>
    </xf>
    <xf numFmtId="0" fontId="30" fillId="0" borderId="186" xfId="0" applyFont="1" applyBorder="1" applyAlignment="1">
      <alignment horizontal="center" vertical="center" shrinkToFit="1"/>
    </xf>
    <xf numFmtId="0" fontId="30" fillId="0" borderId="67" xfId="0" applyFont="1" applyBorder="1" applyAlignment="1">
      <alignment horizontal="center" vertical="center" shrinkToFit="1"/>
    </xf>
    <xf numFmtId="0" fontId="30" fillId="0" borderId="311" xfId="0" applyFont="1" applyBorder="1" applyAlignment="1">
      <alignment horizontal="center" vertical="center" shrinkToFit="1"/>
    </xf>
    <xf numFmtId="0" fontId="30" fillId="0" borderId="311" xfId="0" applyFont="1" applyBorder="1">
      <alignment vertical="center"/>
    </xf>
    <xf numFmtId="0" fontId="30" fillId="0" borderId="63" xfId="0" applyFont="1" applyBorder="1">
      <alignment vertical="center"/>
    </xf>
    <xf numFmtId="0" fontId="30" fillId="0" borderId="312" xfId="0" applyFont="1" applyBorder="1">
      <alignment vertical="center"/>
    </xf>
    <xf numFmtId="0" fontId="30" fillId="0" borderId="17" xfId="0" applyFont="1" applyBorder="1" applyAlignment="1">
      <alignment vertical="center" shrinkToFit="1"/>
    </xf>
    <xf numFmtId="0" fontId="30" fillId="0" borderId="313" xfId="0" applyFont="1" applyBorder="1">
      <alignment vertical="center"/>
    </xf>
    <xf numFmtId="0" fontId="30" fillId="0" borderId="31" xfId="0" applyFont="1" applyBorder="1" applyAlignment="1">
      <alignment horizontal="center" vertical="center" shrinkToFit="1"/>
    </xf>
    <xf numFmtId="0" fontId="30" fillId="0" borderId="55"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68" xfId="0" applyFont="1" applyBorder="1" applyAlignment="1">
      <alignment horizontal="center" vertical="center" shrinkToFit="1"/>
    </xf>
    <xf numFmtId="0" fontId="30" fillId="0" borderId="318" xfId="0" applyFont="1" applyBorder="1" applyAlignment="1">
      <alignment horizontal="center" vertical="center" shrinkToFit="1"/>
    </xf>
    <xf numFmtId="0" fontId="13" fillId="0" borderId="318" xfId="3" applyFont="1" applyBorder="1" applyAlignment="1">
      <alignment vertical="center" shrinkToFit="1"/>
    </xf>
    <xf numFmtId="0" fontId="13" fillId="0" borderId="96" xfId="3" applyFont="1" applyBorder="1" applyAlignment="1">
      <alignment vertical="center" shrinkToFit="1"/>
    </xf>
    <xf numFmtId="0" fontId="13" fillId="0" borderId="319" xfId="3" applyFont="1" applyBorder="1" applyAlignment="1">
      <alignment vertical="center" shrinkToFit="1"/>
    </xf>
    <xf numFmtId="0" fontId="30" fillId="0" borderId="4" xfId="0" applyFont="1" applyBorder="1">
      <alignment vertical="center"/>
    </xf>
    <xf numFmtId="0" fontId="13" fillId="2" borderId="292" xfId="3" applyFont="1" applyFill="1" applyBorder="1" applyAlignment="1">
      <alignment horizontal="center" vertical="center" shrinkToFit="1"/>
    </xf>
    <xf numFmtId="0" fontId="13" fillId="4" borderId="320" xfId="3" applyFont="1" applyFill="1" applyBorder="1" applyAlignment="1" applyProtection="1">
      <alignment horizontal="center" vertical="center" shrinkToFit="1"/>
      <protection locked="0"/>
    </xf>
    <xf numFmtId="0" fontId="13" fillId="6" borderId="322" xfId="3" applyFont="1" applyFill="1" applyBorder="1" applyAlignment="1" applyProtection="1">
      <alignment horizontal="center" vertical="center" shrinkToFit="1"/>
      <protection locked="0"/>
    </xf>
    <xf numFmtId="14" fontId="13" fillId="4" borderId="321" xfId="3" applyNumberFormat="1" applyFont="1" applyFill="1" applyBorder="1" applyAlignment="1" applyProtection="1">
      <alignment vertical="center" shrinkToFit="1"/>
      <protection locked="0"/>
    </xf>
    <xf numFmtId="0" fontId="13" fillId="4" borderId="321" xfId="3" applyFont="1" applyFill="1" applyBorder="1" applyAlignment="1" applyProtection="1">
      <alignment vertical="center" shrinkToFit="1"/>
      <protection locked="0"/>
    </xf>
    <xf numFmtId="0" fontId="30" fillId="2" borderId="324" xfId="0" applyFont="1" applyFill="1" applyBorder="1" applyAlignment="1">
      <alignment horizontal="center" vertical="center" shrinkToFit="1"/>
    </xf>
    <xf numFmtId="188" fontId="30" fillId="0" borderId="46" xfId="0" applyNumberFormat="1" applyFont="1" applyBorder="1" applyAlignment="1">
      <alignment horizontal="right" vertical="center" shrinkToFit="1"/>
    </xf>
    <xf numFmtId="188" fontId="30" fillId="0" borderId="95" xfId="0" applyNumberFormat="1" applyFont="1" applyBorder="1" applyAlignment="1">
      <alignment horizontal="right" vertical="center" shrinkToFit="1"/>
    </xf>
    <xf numFmtId="188" fontId="30" fillId="0" borderId="3" xfId="0" applyNumberFormat="1" applyFont="1" applyBorder="1" applyAlignment="1">
      <alignment horizontal="right" vertical="center" shrinkToFit="1"/>
    </xf>
    <xf numFmtId="188" fontId="30" fillId="0" borderId="47" xfId="0" applyNumberFormat="1" applyFont="1" applyBorder="1" applyAlignment="1">
      <alignment horizontal="right" vertical="center" shrinkToFit="1"/>
    </xf>
    <xf numFmtId="0" fontId="30" fillId="0" borderId="307" xfId="0" applyFont="1" applyBorder="1" applyAlignment="1">
      <alignment horizontal="right" vertical="center" shrinkToFit="1"/>
    </xf>
    <xf numFmtId="0" fontId="30" fillId="0" borderId="47" xfId="0" applyFont="1" applyBorder="1" applyAlignment="1">
      <alignment horizontal="right" vertical="center" shrinkToFit="1"/>
    </xf>
    <xf numFmtId="0" fontId="30" fillId="0" borderId="95" xfId="0" applyFont="1" applyBorder="1" applyAlignment="1">
      <alignment horizontal="right" vertical="center" shrinkToFit="1"/>
    </xf>
    <xf numFmtId="0" fontId="30" fillId="0" borderId="308" xfId="0" applyFont="1" applyBorder="1" applyAlignment="1">
      <alignment horizontal="right" vertical="center" shrinkToFit="1"/>
    </xf>
    <xf numFmtId="0" fontId="13" fillId="2" borderId="294" xfId="3" applyFont="1" applyFill="1" applyBorder="1" applyAlignment="1">
      <alignment horizontal="center" vertical="center" shrinkToFit="1"/>
    </xf>
    <xf numFmtId="0" fontId="13" fillId="4" borderId="212" xfId="3" applyFont="1" applyFill="1" applyBorder="1" applyAlignment="1" applyProtection="1">
      <alignment horizontal="center" vertical="center" shrinkToFit="1"/>
      <protection locked="0"/>
    </xf>
    <xf numFmtId="0" fontId="13" fillId="6" borderId="325" xfId="3" applyFont="1" applyFill="1" applyBorder="1" applyAlignment="1" applyProtection="1">
      <alignment horizontal="center" vertical="center" shrinkToFit="1"/>
      <protection locked="0"/>
    </xf>
    <xf numFmtId="0" fontId="13" fillId="2" borderId="295" xfId="3" applyFont="1" applyFill="1" applyBorder="1" applyAlignment="1" applyProtection="1">
      <alignment horizontal="center" vertical="center" shrinkToFit="1"/>
      <protection locked="0"/>
    </xf>
    <xf numFmtId="0" fontId="13" fillId="4" borderId="211" xfId="3" applyFont="1" applyFill="1" applyBorder="1" applyAlignment="1" applyProtection="1">
      <alignment vertical="center" shrinkToFit="1"/>
      <protection locked="0"/>
    </xf>
    <xf numFmtId="0" fontId="30" fillId="2" borderId="202" xfId="0" applyFont="1" applyFill="1" applyBorder="1" applyAlignment="1">
      <alignment horizontal="center" vertical="center" shrinkToFit="1"/>
    </xf>
    <xf numFmtId="188" fontId="30" fillId="0" borderId="74" xfId="0" applyNumberFormat="1" applyFont="1" applyBorder="1" applyAlignment="1">
      <alignment horizontal="right" vertical="center" shrinkToFit="1"/>
    </xf>
    <xf numFmtId="188" fontId="30" fillId="0" borderId="63" xfId="0" applyNumberFormat="1" applyFont="1" applyBorder="1" applyAlignment="1">
      <alignment horizontal="right" vertical="center" shrinkToFit="1"/>
    </xf>
    <xf numFmtId="188" fontId="30" fillId="0" borderId="4" xfId="0" applyNumberFormat="1" applyFont="1" applyBorder="1" applyAlignment="1">
      <alignment horizontal="right" vertical="center" shrinkToFit="1"/>
    </xf>
    <xf numFmtId="188" fontId="30" fillId="0" borderId="67" xfId="0" applyNumberFormat="1" applyFont="1" applyBorder="1" applyAlignment="1">
      <alignment horizontal="right" vertical="center" shrinkToFit="1"/>
    </xf>
    <xf numFmtId="0" fontId="30" fillId="0" borderId="311" xfId="0" applyFont="1" applyBorder="1" applyAlignment="1">
      <alignment horizontal="right" vertical="center" shrinkToFit="1"/>
    </xf>
    <xf numFmtId="0" fontId="30" fillId="0" borderId="4" xfId="0" applyFont="1" applyBorder="1" applyAlignment="1">
      <alignment horizontal="right" vertical="center" shrinkToFit="1"/>
    </xf>
    <xf numFmtId="0" fontId="30" fillId="0" borderId="63" xfId="0" applyFont="1" applyBorder="1" applyAlignment="1">
      <alignment horizontal="right" vertical="center" shrinkToFit="1"/>
    </xf>
    <xf numFmtId="0" fontId="30" fillId="0" borderId="326" xfId="0" applyFont="1" applyBorder="1" applyAlignment="1">
      <alignment horizontal="right" vertical="center" shrinkToFit="1"/>
    </xf>
    <xf numFmtId="0" fontId="30" fillId="0" borderId="327" xfId="0" applyFont="1" applyBorder="1" applyAlignment="1">
      <alignment horizontal="right" vertical="center" shrinkToFit="1"/>
    </xf>
    <xf numFmtId="0" fontId="30" fillId="0" borderId="328" xfId="0" applyFont="1" applyBorder="1">
      <alignment vertical="center"/>
    </xf>
    <xf numFmtId="0" fontId="30" fillId="0" borderId="48" xfId="0" applyFont="1" applyBorder="1" applyAlignment="1">
      <alignment vertical="center" shrinkToFit="1"/>
    </xf>
    <xf numFmtId="0" fontId="13" fillId="2" borderId="298" xfId="3" applyFont="1" applyFill="1" applyBorder="1" applyAlignment="1">
      <alignment horizontal="center" vertical="center" shrinkToFit="1"/>
    </xf>
    <xf numFmtId="0" fontId="13" fillId="4" borderId="215" xfId="3" applyFont="1" applyFill="1" applyBorder="1" applyAlignment="1" applyProtection="1">
      <alignment horizontal="center" vertical="center" shrinkToFit="1"/>
      <protection locked="0"/>
    </xf>
    <xf numFmtId="0" fontId="13" fillId="6" borderId="330" xfId="3" applyFont="1" applyFill="1" applyBorder="1" applyAlignment="1" applyProtection="1">
      <alignment horizontal="center" vertical="center" shrinkToFit="1"/>
      <protection locked="0"/>
    </xf>
    <xf numFmtId="0" fontId="13" fillId="2" borderId="299" xfId="3" applyFont="1" applyFill="1" applyBorder="1" applyAlignment="1" applyProtection="1">
      <alignment horizontal="center" vertical="center" shrinkToFit="1"/>
      <protection locked="0"/>
    </xf>
    <xf numFmtId="14" fontId="13" fillId="4" borderId="214" xfId="3" applyNumberFormat="1" applyFont="1" applyFill="1" applyBorder="1" applyAlignment="1" applyProtection="1">
      <alignment vertical="center" shrinkToFit="1"/>
      <protection locked="0"/>
    </xf>
    <xf numFmtId="0" fontId="13" fillId="4" borderId="214" xfId="3" applyFont="1" applyFill="1" applyBorder="1" applyAlignment="1" applyProtection="1">
      <alignment vertical="center" shrinkToFit="1"/>
      <protection locked="0"/>
    </xf>
    <xf numFmtId="0" fontId="30" fillId="2" borderId="209" xfId="0" applyFont="1" applyFill="1" applyBorder="1" applyAlignment="1">
      <alignment horizontal="center" vertical="center" shrinkToFit="1"/>
    </xf>
    <xf numFmtId="188" fontId="30" fillId="0" borderId="31" xfId="0" applyNumberFormat="1" applyFont="1" applyBorder="1" applyAlignment="1">
      <alignment horizontal="right" vertical="center" shrinkToFit="1"/>
    </xf>
    <xf numFmtId="188" fontId="30" fillId="0" borderId="96" xfId="0" applyNumberFormat="1" applyFont="1" applyBorder="1" applyAlignment="1">
      <alignment horizontal="right" vertical="center" shrinkToFit="1"/>
    </xf>
    <xf numFmtId="188" fontId="30" fillId="0" borderId="5" xfId="0" applyNumberFormat="1" applyFont="1" applyBorder="1" applyAlignment="1">
      <alignment horizontal="right" vertical="center" shrinkToFit="1"/>
    </xf>
    <xf numFmtId="188" fontId="30" fillId="0" borderId="68" xfId="0" applyNumberFormat="1" applyFont="1" applyBorder="1" applyAlignment="1">
      <alignment horizontal="right" vertical="center" shrinkToFit="1"/>
    </xf>
    <xf numFmtId="0" fontId="30" fillId="0" borderId="318" xfId="0" applyFont="1" applyBorder="1" applyAlignment="1">
      <alignment horizontal="right" vertical="center" shrinkToFit="1"/>
    </xf>
    <xf numFmtId="0" fontId="30" fillId="0" borderId="5" xfId="0" applyFont="1" applyBorder="1" applyAlignment="1">
      <alignment horizontal="right" vertical="center" shrinkToFit="1"/>
    </xf>
    <xf numFmtId="0" fontId="30" fillId="0" borderId="96" xfId="0" applyFont="1" applyBorder="1" applyAlignment="1">
      <alignment horizontal="right" vertical="center" shrinkToFit="1"/>
    </xf>
    <xf numFmtId="0" fontId="30" fillId="0" borderId="331" xfId="0" applyFont="1" applyBorder="1" applyAlignment="1">
      <alignment horizontal="right" vertical="center" shrinkToFit="1"/>
    </xf>
    <xf numFmtId="0" fontId="30" fillId="0" borderId="332" xfId="0" applyFont="1" applyBorder="1" applyAlignment="1">
      <alignment horizontal="right" vertical="center" shrinkToFit="1"/>
    </xf>
    <xf numFmtId="0" fontId="30" fillId="0" borderId="0" xfId="0" applyFont="1" applyAlignment="1">
      <alignment horizontal="center" vertical="center" shrinkToFit="1"/>
    </xf>
    <xf numFmtId="0" fontId="30" fillId="0" borderId="31" xfId="0" applyFont="1" applyBorder="1">
      <alignment vertical="center"/>
    </xf>
    <xf numFmtId="0" fontId="13" fillId="2" borderId="0" xfId="0" applyFont="1" applyFill="1">
      <alignment vertical="center"/>
    </xf>
    <xf numFmtId="0" fontId="26" fillId="0" borderId="23"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128" xfId="0" applyFont="1" applyBorder="1" applyAlignment="1">
      <alignment horizontal="center" vertical="center"/>
    </xf>
    <xf numFmtId="0" fontId="26" fillId="0" borderId="24" xfId="0" applyFont="1" applyBorder="1" applyAlignment="1">
      <alignment horizontal="center" vertical="center"/>
    </xf>
    <xf numFmtId="0" fontId="26" fillId="0" borderId="25" xfId="0" applyFont="1" applyBorder="1" applyAlignment="1">
      <alignment horizontal="center" vertical="center"/>
    </xf>
    <xf numFmtId="0" fontId="30" fillId="0" borderId="7" xfId="0" applyFont="1" applyBorder="1">
      <alignment vertical="center"/>
    </xf>
    <xf numFmtId="0" fontId="26" fillId="0" borderId="75" xfId="0" applyFont="1" applyBorder="1" applyAlignment="1">
      <alignment horizontal="center" vertical="center" shrinkToFit="1"/>
    </xf>
    <xf numFmtId="0" fontId="26" fillId="0" borderId="3" xfId="0" applyFont="1" applyBorder="1" applyAlignment="1">
      <alignment horizontal="center" vertical="center" shrinkToFit="1"/>
    </xf>
    <xf numFmtId="0" fontId="30" fillId="0" borderId="47" xfId="0" applyFont="1" applyBorder="1">
      <alignment vertical="center"/>
    </xf>
    <xf numFmtId="188" fontId="30" fillId="0" borderId="4" xfId="0" applyNumberFormat="1" applyFont="1" applyBorder="1" applyAlignment="1">
      <alignment horizontal="center" vertical="center" shrinkToFit="1"/>
    </xf>
    <xf numFmtId="0" fontId="30" fillId="0" borderId="186" xfId="0" applyFont="1" applyBorder="1">
      <alignment vertical="center"/>
    </xf>
    <xf numFmtId="0" fontId="30" fillId="0" borderId="67" xfId="0" applyFont="1" applyBorder="1">
      <alignment vertical="center"/>
    </xf>
    <xf numFmtId="0" fontId="13" fillId="0" borderId="55" xfId="3" applyFont="1" applyBorder="1" applyAlignment="1">
      <alignment vertical="center" shrinkToFit="1"/>
    </xf>
    <xf numFmtId="0" fontId="13" fillId="0" borderId="5" xfId="3" applyFont="1" applyBorder="1" applyAlignment="1">
      <alignment vertical="center" shrinkToFit="1"/>
    </xf>
    <xf numFmtId="0" fontId="13" fillId="0" borderId="68" xfId="3" applyFont="1" applyBorder="1" applyAlignment="1">
      <alignment vertical="center" shrinkToFit="1"/>
    </xf>
    <xf numFmtId="0" fontId="13" fillId="0" borderId="292" xfId="3" applyFont="1" applyBorder="1" applyAlignment="1">
      <alignment horizontal="center" vertical="center" shrinkToFit="1"/>
    </xf>
    <xf numFmtId="0" fontId="13" fillId="4" borderId="221" xfId="3" applyFont="1" applyFill="1" applyBorder="1" applyAlignment="1" applyProtection="1">
      <alignment horizontal="center" vertical="center" shrinkToFit="1"/>
      <protection locked="0"/>
    </xf>
    <xf numFmtId="0" fontId="13" fillId="6" borderId="220" xfId="3" applyFont="1" applyFill="1" applyBorder="1" applyAlignment="1" applyProtection="1">
      <alignment horizontal="center" vertical="center" shrinkToFit="1"/>
      <protection locked="0"/>
    </xf>
    <xf numFmtId="0" fontId="13" fillId="6" borderId="333" xfId="3" applyFont="1" applyFill="1" applyBorder="1" applyAlignment="1" applyProtection="1">
      <alignment horizontal="center" vertical="center" shrinkToFit="1"/>
      <protection locked="0"/>
    </xf>
    <xf numFmtId="0" fontId="13" fillId="2" borderId="293" xfId="3" applyFont="1" applyFill="1" applyBorder="1" applyAlignment="1" applyProtection="1">
      <alignment horizontal="center" vertical="center" shrinkToFit="1"/>
      <protection locked="0"/>
    </xf>
    <xf numFmtId="210" fontId="13" fillId="2" borderId="221" xfId="3" applyNumberFormat="1" applyFont="1" applyFill="1" applyBorder="1" applyAlignment="1">
      <alignment horizontal="right" vertical="center" shrinkToFit="1"/>
    </xf>
    <xf numFmtId="14" fontId="13" fillId="4" borderId="220" xfId="3" applyNumberFormat="1" applyFont="1" applyFill="1" applyBorder="1" applyAlignment="1" applyProtection="1">
      <alignment vertical="center" shrinkToFit="1"/>
      <protection locked="0"/>
    </xf>
    <xf numFmtId="0" fontId="13" fillId="4" borderId="220" xfId="3" applyFont="1" applyFill="1" applyBorder="1" applyAlignment="1" applyProtection="1">
      <alignment vertical="center" shrinkToFit="1"/>
      <protection locked="0"/>
    </xf>
    <xf numFmtId="0" fontId="30" fillId="2" borderId="222" xfId="0" applyFont="1" applyFill="1" applyBorder="1" applyAlignment="1">
      <alignment horizontal="center" vertical="center" shrinkToFit="1"/>
    </xf>
    <xf numFmtId="188" fontId="30" fillId="0" borderId="75" xfId="0" applyNumberFormat="1" applyFont="1" applyBorder="1" applyAlignment="1">
      <alignment horizontal="right" vertical="center" shrinkToFit="1"/>
    </xf>
    <xf numFmtId="0" fontId="30" fillId="0" borderId="46" xfId="0" applyFont="1" applyBorder="1" applyAlignment="1">
      <alignment horizontal="right" vertical="center" shrinkToFit="1"/>
    </xf>
    <xf numFmtId="0" fontId="30" fillId="0" borderId="3" xfId="0" applyFont="1" applyBorder="1" applyAlignment="1">
      <alignment horizontal="right" vertical="center" shrinkToFit="1"/>
    </xf>
    <xf numFmtId="0" fontId="30" fillId="0" borderId="27" xfId="0" applyFont="1" applyBorder="1" applyAlignment="1">
      <alignment horizontal="right" vertical="center" shrinkToFit="1"/>
    </xf>
    <xf numFmtId="0" fontId="13" fillId="0" borderId="294" xfId="3" applyFont="1" applyBorder="1" applyAlignment="1">
      <alignment horizontal="center" vertical="center" shrinkToFit="1"/>
    </xf>
    <xf numFmtId="0" fontId="13" fillId="6" borderId="211" xfId="3" applyFont="1" applyFill="1" applyBorder="1" applyAlignment="1" applyProtection="1">
      <alignment horizontal="center" vertical="center" shrinkToFit="1"/>
      <protection locked="0"/>
    </xf>
    <xf numFmtId="210" fontId="13" fillId="2" borderId="212" xfId="3" applyNumberFormat="1" applyFont="1" applyFill="1" applyBorder="1" applyAlignment="1">
      <alignment horizontal="right" vertical="center" shrinkToFit="1"/>
    </xf>
    <xf numFmtId="188" fontId="30" fillId="0" borderId="186" xfId="0" applyNumberFormat="1" applyFont="1" applyBorder="1" applyAlignment="1">
      <alignment horizontal="right" vertical="center" shrinkToFit="1"/>
    </xf>
    <xf numFmtId="0" fontId="30" fillId="0" borderId="74" xfId="0" applyFont="1" applyBorder="1" applyAlignment="1">
      <alignment horizontal="right" vertical="center" shrinkToFit="1"/>
    </xf>
    <xf numFmtId="0" fontId="30" fillId="0" borderId="20" xfId="0" applyFont="1" applyBorder="1" applyAlignment="1">
      <alignment horizontal="right" vertical="center" shrinkToFit="1"/>
    </xf>
    <xf numFmtId="0" fontId="30" fillId="0" borderId="50" xfId="0" applyFont="1" applyBorder="1" applyAlignment="1">
      <alignment horizontal="right" vertical="center" shrinkToFit="1"/>
    </xf>
    <xf numFmtId="0" fontId="13" fillId="0" borderId="298" xfId="3" applyFont="1" applyBorder="1" applyAlignment="1">
      <alignment horizontal="center" vertical="center" shrinkToFit="1"/>
    </xf>
    <xf numFmtId="0" fontId="13" fillId="6" borderId="214" xfId="3" applyFont="1" applyFill="1" applyBorder="1" applyAlignment="1" applyProtection="1">
      <alignment horizontal="center" vertical="center" shrinkToFit="1"/>
      <protection locked="0"/>
    </xf>
    <xf numFmtId="210" fontId="13" fillId="2" borderId="215" xfId="3" applyNumberFormat="1" applyFont="1" applyFill="1" applyBorder="1" applyAlignment="1">
      <alignment horizontal="right" vertical="center" shrinkToFit="1"/>
    </xf>
    <xf numFmtId="188" fontId="30" fillId="0" borderId="55" xfId="0" applyNumberFormat="1" applyFont="1" applyBorder="1" applyAlignment="1">
      <alignment horizontal="right" vertical="center" shrinkToFit="1"/>
    </xf>
    <xf numFmtId="0" fontId="30" fillId="0" borderId="31" xfId="0" applyFont="1" applyBorder="1" applyAlignment="1">
      <alignment horizontal="right" vertical="center" shrinkToFit="1"/>
    </xf>
    <xf numFmtId="0" fontId="30" fillId="0" borderId="56" xfId="0" applyFont="1" applyBorder="1" applyAlignment="1">
      <alignment horizontal="right" vertical="center" shrinkToFit="1"/>
    </xf>
    <xf numFmtId="0" fontId="30" fillId="0" borderId="68" xfId="0" applyFont="1" applyBorder="1" applyAlignment="1">
      <alignment horizontal="right" vertical="center" shrinkToFit="1"/>
    </xf>
    <xf numFmtId="0" fontId="30" fillId="0" borderId="199" xfId="0" applyFont="1" applyBorder="1" applyAlignment="1">
      <alignment horizontal="right" vertical="center" shrinkToFit="1"/>
    </xf>
    <xf numFmtId="0" fontId="30" fillId="0" borderId="75" xfId="0" applyFont="1" applyBorder="1" applyAlignment="1">
      <alignment horizontal="right" vertical="center" shrinkToFit="1"/>
    </xf>
    <xf numFmtId="0" fontId="30" fillId="0" borderId="76" xfId="0" applyFont="1" applyBorder="1" applyAlignment="1">
      <alignment horizontal="right" vertical="center" shrinkToFit="1"/>
    </xf>
    <xf numFmtId="0" fontId="30" fillId="0" borderId="273" xfId="0" applyFont="1" applyBorder="1" applyAlignment="1">
      <alignment horizontal="right" vertical="center" shrinkToFit="1"/>
    </xf>
    <xf numFmtId="0" fontId="30" fillId="0" borderId="18" xfId="0" applyFont="1" applyBorder="1" applyAlignment="1">
      <alignment horizontal="right" vertical="center" shrinkToFit="1"/>
    </xf>
    <xf numFmtId="0" fontId="26" fillId="0" borderId="22" xfId="0" applyFont="1" applyBorder="1" applyAlignment="1">
      <alignment horizontal="right" vertical="center" shrinkToFit="1"/>
    </xf>
    <xf numFmtId="0" fontId="30" fillId="0" borderId="67" xfId="0" applyFont="1" applyBorder="1" applyAlignment="1">
      <alignment horizontal="right" vertical="center" shrinkToFit="1"/>
    </xf>
    <xf numFmtId="0" fontId="30" fillId="0" borderId="55" xfId="0" applyFont="1" applyBorder="1" applyAlignment="1">
      <alignment horizontal="right" vertical="center" shrinkToFit="1"/>
    </xf>
    <xf numFmtId="0" fontId="41" fillId="2" borderId="0" xfId="3" applyFont="1" applyFill="1" applyAlignment="1">
      <alignment horizontal="left" vertical="center"/>
    </xf>
    <xf numFmtId="0" fontId="4" fillId="2" borderId="38" xfId="3" applyFont="1" applyFill="1" applyBorder="1" applyAlignment="1">
      <alignment horizontal="center" vertical="center"/>
    </xf>
    <xf numFmtId="0" fontId="41" fillId="2" borderId="3" xfId="3" applyFont="1" applyFill="1" applyBorder="1" applyAlignment="1">
      <alignment horizontal="center" vertical="center" shrinkToFit="1"/>
    </xf>
    <xf numFmtId="0" fontId="41" fillId="2" borderId="9" xfId="3" applyFont="1" applyFill="1" applyBorder="1" applyAlignment="1">
      <alignment horizontal="center" vertical="center" shrinkToFit="1"/>
    </xf>
    <xf numFmtId="0" fontId="4" fillId="2" borderId="219" xfId="3" applyFont="1" applyFill="1" applyBorder="1" applyAlignment="1">
      <alignment horizontal="center" vertical="center" shrinkToFit="1"/>
    </xf>
    <xf numFmtId="4" fontId="32" fillId="2" borderId="223" xfId="2" applyNumberFormat="1" applyFont="1" applyFill="1" applyBorder="1" applyAlignment="1" applyProtection="1">
      <alignment horizontal="right" vertical="center" shrinkToFit="1"/>
    </xf>
    <xf numFmtId="0" fontId="4" fillId="2" borderId="225" xfId="3" applyFont="1" applyFill="1" applyBorder="1" applyAlignment="1">
      <alignment horizontal="center" vertical="center" shrinkToFit="1"/>
    </xf>
    <xf numFmtId="4" fontId="32" fillId="2" borderId="203" xfId="2" applyNumberFormat="1" applyFont="1" applyFill="1" applyBorder="1" applyAlignment="1" applyProtection="1">
      <alignment horizontal="right" vertical="center" shrinkToFit="1"/>
    </xf>
    <xf numFmtId="0" fontId="4" fillId="2" borderId="227" xfId="3" applyFont="1" applyFill="1" applyBorder="1" applyAlignment="1">
      <alignment horizontal="center" vertical="center" shrinkToFit="1"/>
    </xf>
    <xf numFmtId="4" fontId="32" fillId="2" borderId="205" xfId="2" applyNumberFormat="1" applyFont="1" applyFill="1" applyBorder="1" applyAlignment="1" applyProtection="1">
      <alignment horizontal="right" vertical="center" shrinkToFit="1"/>
    </xf>
    <xf numFmtId="198" fontId="4" fillId="2" borderId="24" xfId="3" applyNumberFormat="1" applyFont="1" applyFill="1" applyBorder="1" applyAlignment="1">
      <alignment shrinkToFit="1"/>
    </xf>
    <xf numFmtId="0" fontId="30" fillId="0" borderId="67" xfId="0" applyFont="1" applyBorder="1" applyAlignment="1">
      <alignment vertical="center" shrinkToFit="1"/>
    </xf>
    <xf numFmtId="0" fontId="30" fillId="0" borderId="6" xfId="0" applyFont="1" applyBorder="1" applyAlignment="1">
      <alignment vertical="center" shrinkToFit="1"/>
    </xf>
    <xf numFmtId="0" fontId="59" fillId="2" borderId="0" xfId="0" applyFont="1" applyFill="1">
      <alignment vertical="center"/>
    </xf>
    <xf numFmtId="0" fontId="59" fillId="0" borderId="0" xfId="0" applyFont="1" applyAlignment="1">
      <alignment horizontal="center" vertical="center"/>
    </xf>
    <xf numFmtId="0" fontId="30" fillId="0" borderId="0" xfId="0" applyFont="1" applyAlignment="1">
      <alignment horizontal="right" vertical="center"/>
    </xf>
    <xf numFmtId="0" fontId="26" fillId="0" borderId="104" xfId="0" applyFont="1" applyBorder="1" applyAlignment="1">
      <alignment vertical="center" shrinkToFit="1"/>
    </xf>
    <xf numFmtId="0" fontId="30" fillId="0" borderId="74"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52" fillId="2" borderId="0" xfId="0" applyFont="1" applyFill="1" applyAlignment="1">
      <alignment horizontal="right" vertical="center"/>
    </xf>
    <xf numFmtId="0" fontId="52" fillId="2" borderId="0" xfId="0" applyFont="1" applyFill="1" applyAlignment="1">
      <alignment horizontal="center" vertical="center"/>
    </xf>
    <xf numFmtId="0" fontId="52" fillId="2" borderId="0" xfId="0" applyFont="1" applyFill="1" applyAlignment="1">
      <alignment horizontal="left" vertical="center"/>
    </xf>
    <xf numFmtId="0" fontId="30" fillId="0" borderId="37" xfId="0" applyFont="1" applyBorder="1">
      <alignment vertical="center"/>
    </xf>
    <xf numFmtId="0" fontId="30" fillId="0" borderId="48" xfId="0" applyFont="1" applyBorder="1" applyAlignment="1">
      <alignment horizontal="center" vertical="center" wrapText="1" shrinkToFit="1"/>
    </xf>
    <xf numFmtId="0" fontId="30" fillId="0" borderId="6" xfId="0" applyFont="1" applyBorder="1" applyAlignment="1">
      <alignment horizontal="center" vertical="center" wrapText="1" shrinkToFit="1"/>
    </xf>
    <xf numFmtId="0" fontId="30" fillId="0" borderId="49" xfId="0" applyFont="1" applyBorder="1">
      <alignment vertical="center"/>
    </xf>
    <xf numFmtId="0" fontId="30" fillId="0" borderId="24" xfId="0" applyFont="1" applyBorder="1" applyAlignment="1">
      <alignment horizontal="center" vertical="center" shrinkToFit="1"/>
    </xf>
    <xf numFmtId="0" fontId="30" fillId="0" borderId="41" xfId="0" applyFont="1" applyBorder="1" applyAlignment="1">
      <alignment horizontal="center" vertical="center" shrinkToFit="1"/>
    </xf>
    <xf numFmtId="0" fontId="30" fillId="0" borderId="128" xfId="0" applyFont="1" applyBorder="1" applyAlignment="1">
      <alignment horizontal="center" vertical="center" shrinkToFit="1"/>
    </xf>
    <xf numFmtId="0" fontId="30" fillId="0" borderId="334" xfId="0" applyFont="1" applyBorder="1" applyAlignment="1">
      <alignment horizontal="center" vertical="center" shrinkToFit="1"/>
    </xf>
    <xf numFmtId="0" fontId="30" fillId="0" borderId="42" xfId="0" applyFont="1" applyBorder="1">
      <alignment vertical="center"/>
    </xf>
    <xf numFmtId="0" fontId="30" fillId="2" borderId="5" xfId="0" applyFont="1" applyFill="1" applyBorder="1" applyAlignment="1">
      <alignment horizontal="center" vertical="center" shrinkToFit="1"/>
    </xf>
    <xf numFmtId="0" fontId="30" fillId="2" borderId="5" xfId="0" applyFont="1" applyFill="1" applyBorder="1" applyAlignment="1">
      <alignment horizontal="center" vertical="center"/>
    </xf>
    <xf numFmtId="0" fontId="30" fillId="0" borderId="53" xfId="0" applyFont="1" applyBorder="1" applyAlignment="1">
      <alignment horizontal="center" vertical="center" shrinkToFit="1"/>
    </xf>
    <xf numFmtId="0" fontId="30" fillId="0" borderId="121" xfId="0" applyFont="1" applyBorder="1" applyAlignment="1">
      <alignment horizontal="center" vertical="center" shrinkToFit="1"/>
    </xf>
    <xf numFmtId="0" fontId="30" fillId="0" borderId="309" xfId="0" applyFont="1" applyBorder="1" applyAlignment="1">
      <alignment horizontal="center" vertical="center" shrinkToFit="1"/>
    </xf>
    <xf numFmtId="38" fontId="30" fillId="0" borderId="13" xfId="4" applyFont="1" applyFill="1" applyBorder="1" applyAlignment="1" applyProtection="1">
      <alignment vertical="center"/>
    </xf>
    <xf numFmtId="176" fontId="13" fillId="2" borderId="222" xfId="1" applyNumberFormat="1" applyFont="1" applyFill="1" applyBorder="1" applyAlignment="1">
      <alignment horizontal="center" vertical="center" shrinkToFit="1"/>
    </xf>
    <xf numFmtId="211" fontId="30" fillId="2" borderId="320" xfId="0" applyNumberFormat="1" applyFont="1" applyFill="1" applyBorder="1" applyAlignment="1">
      <alignment vertical="center" shrinkToFit="1"/>
    </xf>
    <xf numFmtId="211" fontId="30" fillId="2" borderId="324" xfId="0" applyNumberFormat="1" applyFont="1" applyFill="1" applyBorder="1" applyAlignment="1">
      <alignment horizontal="right" vertical="center" shrinkToFit="1"/>
    </xf>
    <xf numFmtId="0" fontId="30" fillId="0" borderId="127" xfId="0" applyFont="1" applyBorder="1">
      <alignment vertical="center"/>
    </xf>
    <xf numFmtId="0" fontId="30" fillId="0" borderId="97" xfId="0" applyFont="1" applyBorder="1" applyAlignment="1">
      <alignment horizontal="center" vertical="center" shrinkToFit="1"/>
    </xf>
    <xf numFmtId="0" fontId="30" fillId="0" borderId="18" xfId="0" applyFont="1" applyBorder="1" applyAlignment="1">
      <alignment horizontal="center" vertical="center" shrinkToFit="1"/>
    </xf>
    <xf numFmtId="38" fontId="30" fillId="0" borderId="186" xfId="4" applyFont="1" applyFill="1" applyBorder="1" applyAlignment="1" applyProtection="1">
      <alignment vertical="center"/>
    </xf>
    <xf numFmtId="176" fontId="13" fillId="2" borderId="207" xfId="1" applyNumberFormat="1" applyFont="1" applyFill="1" applyBorder="1" applyAlignment="1">
      <alignment horizontal="center" vertical="center" shrinkToFit="1"/>
    </xf>
    <xf numFmtId="211" fontId="30" fillId="2" borderId="336" xfId="0" applyNumberFormat="1" applyFont="1" applyFill="1" applyBorder="1" applyAlignment="1">
      <alignment vertical="center" shrinkToFit="1"/>
    </xf>
    <xf numFmtId="211" fontId="30" fillId="2" borderId="207" xfId="0" applyNumberFormat="1" applyFont="1" applyFill="1" applyBorder="1" applyAlignment="1">
      <alignment horizontal="right" vertical="center" shrinkToFit="1"/>
    </xf>
    <xf numFmtId="176" fontId="13" fillId="2" borderId="200" xfId="1" applyNumberFormat="1" applyFont="1" applyFill="1" applyBorder="1" applyAlignment="1">
      <alignment horizontal="center" vertical="center" shrinkToFit="1"/>
    </xf>
    <xf numFmtId="211" fontId="30" fillId="2" borderId="210" xfId="0" applyNumberFormat="1" applyFont="1" applyFill="1" applyBorder="1" applyAlignment="1">
      <alignment vertical="center" shrinkToFit="1"/>
    </xf>
    <xf numFmtId="211" fontId="30" fillId="2" borderId="200" xfId="0" applyNumberFormat="1" applyFont="1" applyFill="1" applyBorder="1" applyAlignment="1">
      <alignment horizontal="right" vertical="center" shrinkToFit="1"/>
    </xf>
    <xf numFmtId="176" fontId="13" fillId="2" borderId="202" xfId="1" applyNumberFormat="1" applyFont="1" applyFill="1" applyBorder="1" applyAlignment="1">
      <alignment horizontal="center" vertical="center" shrinkToFit="1"/>
    </xf>
    <xf numFmtId="211" fontId="30" fillId="2" borderId="202" xfId="0" applyNumberFormat="1" applyFont="1" applyFill="1" applyBorder="1" applyAlignment="1">
      <alignment horizontal="right" vertical="center"/>
    </xf>
    <xf numFmtId="176" fontId="13" fillId="2" borderId="187" xfId="1" applyNumberFormat="1" applyFont="1" applyFill="1" applyBorder="1" applyAlignment="1">
      <alignment horizontal="center" vertical="center" shrinkToFit="1"/>
    </xf>
    <xf numFmtId="211" fontId="30" fillId="2" borderId="16" xfId="0" applyNumberFormat="1" applyFont="1" applyFill="1" applyBorder="1" applyAlignment="1">
      <alignment horizontal="right" vertical="center" shrinkToFit="1"/>
    </xf>
    <xf numFmtId="176" fontId="13" fillId="2" borderId="324" xfId="1" applyNumberFormat="1" applyFont="1" applyFill="1" applyBorder="1" applyAlignment="1">
      <alignment horizontal="center" vertical="center" shrinkToFit="1"/>
    </xf>
    <xf numFmtId="176" fontId="13" fillId="2" borderId="209" xfId="1" applyNumberFormat="1" applyFont="1" applyFill="1" applyBorder="1" applyAlignment="1">
      <alignment horizontal="center" vertical="center" shrinkToFit="1"/>
    </xf>
    <xf numFmtId="211" fontId="30" fillId="2" borderId="215" xfId="0" applyNumberFormat="1" applyFont="1" applyFill="1" applyBorder="1" applyAlignment="1">
      <alignment vertical="center" shrinkToFit="1"/>
    </xf>
    <xf numFmtId="211" fontId="30" fillId="2" borderId="209" xfId="0" applyNumberFormat="1" applyFont="1" applyFill="1" applyBorder="1" applyAlignment="1">
      <alignment horizontal="right" vertical="center"/>
    </xf>
    <xf numFmtId="211" fontId="30" fillId="2" borderId="6" xfId="0" applyNumberFormat="1" applyFont="1" applyFill="1" applyBorder="1" applyAlignment="1">
      <alignment vertical="center" shrinkToFit="1"/>
    </xf>
    <xf numFmtId="211" fontId="30" fillId="2" borderId="16" xfId="0" applyNumberFormat="1" applyFont="1" applyFill="1" applyBorder="1" applyAlignment="1">
      <alignment vertical="center" shrinkToFit="1"/>
    </xf>
    <xf numFmtId="211" fontId="13" fillId="2" borderId="4" xfId="1" applyNumberFormat="1" applyFont="1" applyFill="1" applyBorder="1" applyAlignment="1">
      <alignment horizontal="right" vertical="center" shrinkToFit="1"/>
    </xf>
    <xf numFmtId="0" fontId="61" fillId="0" borderId="38" xfId="0" applyFont="1" applyBorder="1" applyAlignment="1">
      <alignment vertical="center" wrapText="1"/>
    </xf>
    <xf numFmtId="0" fontId="30" fillId="0" borderId="38" xfId="0" applyFont="1" applyBorder="1">
      <alignment vertical="center"/>
    </xf>
    <xf numFmtId="0" fontId="52" fillId="0" borderId="48" xfId="0" applyFont="1" applyBorder="1" applyAlignment="1">
      <alignment horizontal="center" vertical="center"/>
    </xf>
    <xf numFmtId="0" fontId="52" fillId="0" borderId="5" xfId="0" applyFont="1" applyBorder="1" applyAlignment="1">
      <alignment horizontal="center" vertical="center" shrinkToFit="1"/>
    </xf>
    <xf numFmtId="0" fontId="52" fillId="0" borderId="187" xfId="0" applyFont="1" applyBorder="1" applyAlignment="1">
      <alignment horizontal="center" vertical="center" shrinkToFit="1"/>
    </xf>
    <xf numFmtId="0" fontId="30" fillId="0" borderId="199" xfId="0" applyFont="1" applyBorder="1" applyAlignment="1">
      <alignment horizontal="center" vertical="center" shrinkToFit="1"/>
    </xf>
    <xf numFmtId="0" fontId="52" fillId="0" borderId="187" xfId="0" applyFont="1" applyBorder="1" applyAlignment="1">
      <alignment horizontal="center" vertical="center"/>
    </xf>
    <xf numFmtId="0" fontId="30" fillId="2" borderId="351" xfId="0" applyFont="1" applyFill="1" applyBorder="1" applyAlignment="1">
      <alignment horizontal="center" vertical="center" shrinkToFit="1"/>
    </xf>
    <xf numFmtId="2" fontId="30" fillId="2" borderId="35" xfId="0" applyNumberFormat="1" applyFont="1" applyFill="1" applyBorder="1" applyAlignment="1">
      <alignment horizontal="center" vertical="center" shrinkToFit="1"/>
    </xf>
    <xf numFmtId="0" fontId="30" fillId="2" borderId="352" xfId="0" applyFont="1" applyFill="1" applyBorder="1" applyAlignment="1">
      <alignment horizontal="center" vertical="center" shrinkToFit="1"/>
    </xf>
    <xf numFmtId="0" fontId="52" fillId="0" borderId="0" xfId="0" applyFont="1" applyAlignment="1">
      <alignment horizontal="center" vertical="center"/>
    </xf>
    <xf numFmtId="0" fontId="26" fillId="0" borderId="353" xfId="0" applyFont="1" applyBorder="1" applyAlignment="1">
      <alignment horizontal="center" vertical="center" shrinkToFit="1"/>
    </xf>
    <xf numFmtId="0" fontId="26" fillId="0" borderId="354" xfId="0" applyFont="1" applyBorder="1" applyAlignment="1">
      <alignment horizontal="center" vertical="center" shrinkToFit="1"/>
    </xf>
    <xf numFmtId="0" fontId="30" fillId="0" borderId="13" xfId="0" applyFont="1" applyBorder="1" applyAlignment="1">
      <alignment horizontal="center" vertical="center" shrinkToFit="1"/>
    </xf>
    <xf numFmtId="0" fontId="30" fillId="0" borderId="20" xfId="0" applyFont="1" applyBorder="1" applyAlignment="1">
      <alignment horizontal="center" vertical="center" shrinkToFit="1"/>
    </xf>
    <xf numFmtId="0" fontId="30" fillId="2" borderId="361" xfId="0" applyFont="1" applyFill="1" applyBorder="1" applyAlignment="1">
      <alignment horizontal="center" vertical="center" shrinkToFit="1"/>
    </xf>
    <xf numFmtId="0" fontId="30" fillId="2" borderId="362" xfId="0" applyFont="1" applyFill="1" applyBorder="1" applyAlignment="1">
      <alignment horizontal="center" vertical="center" shrinkToFit="1"/>
    </xf>
    <xf numFmtId="2" fontId="30" fillId="2" borderId="361" xfId="0" applyNumberFormat="1" applyFont="1" applyFill="1" applyBorder="1" applyAlignment="1">
      <alignment horizontal="center" vertical="center" shrinkToFit="1"/>
    </xf>
    <xf numFmtId="0" fontId="30" fillId="2" borderId="363" xfId="0" applyFont="1" applyFill="1" applyBorder="1" applyAlignment="1">
      <alignment horizontal="center" vertical="center" shrinkToFit="1"/>
    </xf>
    <xf numFmtId="0" fontId="26" fillId="0" borderId="365" xfId="0" applyFont="1" applyBorder="1" applyAlignment="1">
      <alignment horizontal="center" vertical="center" shrinkToFit="1"/>
    </xf>
    <xf numFmtId="0" fontId="26" fillId="0" borderId="313" xfId="0" applyFont="1" applyBorder="1" applyAlignment="1">
      <alignment horizontal="center" vertical="center" shrinkToFit="1"/>
    </xf>
    <xf numFmtId="0" fontId="30" fillId="2" borderId="88" xfId="0" applyFont="1" applyFill="1" applyBorder="1" applyAlignment="1">
      <alignment horizontal="center" vertical="center" shrinkToFit="1"/>
    </xf>
    <xf numFmtId="0" fontId="30" fillId="2" borderId="152" xfId="0" applyFont="1" applyFill="1" applyBorder="1" applyAlignment="1">
      <alignment horizontal="center" vertical="center" shrinkToFit="1"/>
    </xf>
    <xf numFmtId="2" fontId="30" fillId="2" borderId="88" xfId="0" applyNumberFormat="1" applyFont="1" applyFill="1" applyBorder="1" applyAlignment="1">
      <alignment horizontal="center" vertical="center" shrinkToFit="1"/>
    </xf>
    <xf numFmtId="0" fontId="30" fillId="2" borderId="368" xfId="0" applyFont="1" applyFill="1" applyBorder="1" applyAlignment="1">
      <alignment horizontal="center" vertical="center" shrinkToFit="1"/>
    </xf>
    <xf numFmtId="0" fontId="30" fillId="2" borderId="154" xfId="0" applyFont="1" applyFill="1" applyBorder="1" applyAlignment="1">
      <alignment horizontal="center" vertical="center" shrinkToFit="1"/>
    </xf>
    <xf numFmtId="2" fontId="30" fillId="2" borderId="193" xfId="0" applyNumberFormat="1" applyFont="1" applyFill="1" applyBorder="1" applyAlignment="1">
      <alignment horizontal="center" vertical="center" shrinkToFit="1"/>
    </xf>
    <xf numFmtId="2" fontId="30" fillId="2" borderId="0" xfId="0" applyNumberFormat="1" applyFont="1" applyFill="1" applyAlignment="1">
      <alignment horizontal="center" vertical="center" shrinkToFit="1"/>
    </xf>
    <xf numFmtId="0" fontId="30" fillId="0" borderId="26" xfId="0" applyFont="1" applyBorder="1" applyAlignment="1">
      <alignment horizontal="center" vertical="center" shrinkToFit="1"/>
    </xf>
    <xf numFmtId="38" fontId="30" fillId="0" borderId="186" xfId="0" applyNumberFormat="1" applyFont="1" applyBorder="1" applyAlignment="1">
      <alignment horizontal="center" vertical="center" shrinkToFit="1"/>
    </xf>
    <xf numFmtId="38" fontId="30" fillId="0" borderId="17" xfId="0" applyNumberFormat="1" applyFont="1" applyBorder="1" applyAlignment="1">
      <alignment horizontal="center" vertical="center" shrinkToFit="1"/>
    </xf>
    <xf numFmtId="0" fontId="30" fillId="2" borderId="372" xfId="0" applyFont="1" applyFill="1" applyBorder="1" applyAlignment="1">
      <alignment horizontal="center" vertical="center" shrinkToFit="1"/>
    </xf>
    <xf numFmtId="0" fontId="30" fillId="2" borderId="375" xfId="0" applyFont="1" applyFill="1" applyBorder="1" applyAlignment="1">
      <alignment horizontal="center" vertical="center" shrinkToFit="1"/>
    </xf>
    <xf numFmtId="2" fontId="30" fillId="2" borderId="377" xfId="0" applyNumberFormat="1" applyFont="1" applyFill="1" applyBorder="1" applyAlignment="1">
      <alignment horizontal="center" vertical="center" shrinkToFit="1"/>
    </xf>
    <xf numFmtId="0" fontId="30" fillId="2" borderId="378" xfId="0" applyFont="1" applyFill="1" applyBorder="1" applyAlignment="1">
      <alignment horizontal="center" vertical="center" shrinkToFit="1"/>
    </xf>
    <xf numFmtId="0" fontId="30" fillId="0" borderId="0" xfId="0" applyFont="1" applyAlignment="1">
      <alignment vertical="center" wrapText="1"/>
    </xf>
    <xf numFmtId="0" fontId="30" fillId="2" borderId="384" xfId="0" applyFont="1" applyFill="1" applyBorder="1" applyAlignment="1">
      <alignment horizontal="center" vertical="center" shrinkToFit="1"/>
    </xf>
    <xf numFmtId="0" fontId="26" fillId="0" borderId="313" xfId="0" applyFont="1" applyBorder="1" applyAlignment="1">
      <alignment vertical="center" shrinkToFit="1"/>
    </xf>
    <xf numFmtId="0" fontId="30" fillId="2" borderId="65" xfId="0" applyFont="1" applyFill="1" applyBorder="1" applyAlignment="1">
      <alignment horizontal="center" vertical="center" shrinkToFit="1"/>
    </xf>
    <xf numFmtId="2" fontId="30" fillId="2" borderId="155" xfId="0" applyNumberFormat="1" applyFont="1" applyFill="1" applyBorder="1" applyAlignment="1">
      <alignment horizontal="center" vertical="center" shrinkToFit="1"/>
    </xf>
    <xf numFmtId="2" fontId="30" fillId="2" borderId="66" xfId="0" applyNumberFormat="1" applyFont="1" applyFill="1" applyBorder="1" applyAlignment="1">
      <alignment horizontal="center" vertical="center" shrinkToFit="1"/>
    </xf>
    <xf numFmtId="0" fontId="30" fillId="2" borderId="279" xfId="0" applyFont="1" applyFill="1" applyBorder="1" applyAlignment="1">
      <alignment horizontal="center" vertical="center" shrinkToFit="1"/>
    </xf>
    <xf numFmtId="38" fontId="26" fillId="0" borderId="309" xfId="0" applyNumberFormat="1" applyFont="1" applyBorder="1" applyAlignment="1">
      <alignment vertical="center" shrinkToFit="1"/>
    </xf>
    <xf numFmtId="38" fontId="26" fillId="0" borderId="313" xfId="0" applyNumberFormat="1" applyFont="1" applyBorder="1" applyAlignment="1">
      <alignment horizontal="center" vertical="center" shrinkToFit="1"/>
    </xf>
    <xf numFmtId="2" fontId="30" fillId="2" borderId="357" xfId="0" applyNumberFormat="1" applyFont="1" applyFill="1" applyBorder="1" applyAlignment="1">
      <alignment horizontal="center" vertical="center" shrinkToFit="1"/>
    </xf>
    <xf numFmtId="0" fontId="30" fillId="2" borderId="387" xfId="0" applyFont="1" applyFill="1" applyBorder="1" applyAlignment="1">
      <alignment horizontal="center" vertical="center" shrinkToFit="1"/>
    </xf>
    <xf numFmtId="0" fontId="30" fillId="2" borderId="155" xfId="0" applyFont="1" applyFill="1" applyBorder="1" applyAlignment="1">
      <alignment horizontal="center" vertical="center" shrinkToFit="1"/>
    </xf>
    <xf numFmtId="2" fontId="26" fillId="0" borderId="313" xfId="0" applyNumberFormat="1" applyFont="1" applyBorder="1" applyAlignment="1">
      <alignment horizontal="center" vertical="center" shrinkToFit="1"/>
    </xf>
    <xf numFmtId="0" fontId="30" fillId="2" borderId="389" xfId="0" applyFont="1" applyFill="1" applyBorder="1" applyAlignment="1">
      <alignment horizontal="center" vertical="center" shrinkToFit="1"/>
    </xf>
    <xf numFmtId="0" fontId="30" fillId="2" borderId="376" xfId="0" applyFont="1" applyFill="1" applyBorder="1" applyAlignment="1">
      <alignment horizontal="center" vertical="center" shrinkToFit="1"/>
    </xf>
    <xf numFmtId="38" fontId="30" fillId="0" borderId="18" xfId="0" applyNumberFormat="1" applyFont="1" applyBorder="1" applyAlignment="1">
      <alignment horizontal="center" vertical="center" shrinkToFit="1"/>
    </xf>
    <xf numFmtId="0" fontId="30" fillId="2" borderId="394" xfId="0" applyFont="1" applyFill="1" applyBorder="1" applyAlignment="1">
      <alignment horizontal="center" vertical="center" shrinkToFit="1"/>
    </xf>
    <xf numFmtId="2" fontId="30" fillId="2" borderId="215" xfId="0" applyNumberFormat="1" applyFont="1" applyFill="1" applyBorder="1" applyAlignment="1">
      <alignment horizontal="center" vertical="center" shrinkToFit="1"/>
    </xf>
    <xf numFmtId="0" fontId="30" fillId="2" borderId="268" xfId="0" applyFont="1" applyFill="1" applyBorder="1" applyAlignment="1">
      <alignment horizontal="center" vertical="center" shrinkToFit="1"/>
    </xf>
    <xf numFmtId="0" fontId="30" fillId="2" borderId="390" xfId="0" applyFont="1" applyFill="1" applyBorder="1" applyAlignment="1">
      <alignment horizontal="center" vertical="center" shrinkToFit="1"/>
    </xf>
    <xf numFmtId="0" fontId="30" fillId="2" borderId="397" xfId="0" applyFont="1" applyFill="1" applyBorder="1" applyAlignment="1">
      <alignment horizontal="center" vertical="center" shrinkToFit="1"/>
    </xf>
    <xf numFmtId="0" fontId="52" fillId="2" borderId="320" xfId="0" applyFont="1" applyFill="1" applyBorder="1" applyAlignment="1">
      <alignment horizontal="center" vertical="center" shrinkToFit="1"/>
    </xf>
    <xf numFmtId="2" fontId="30" fillId="2" borderId="89" xfId="0" applyNumberFormat="1" applyFont="1" applyFill="1" applyBorder="1" applyAlignment="1">
      <alignment horizontal="center" vertical="center" shrinkToFit="1"/>
    </xf>
    <xf numFmtId="0" fontId="30" fillId="2" borderId="411" xfId="0" applyFont="1" applyFill="1" applyBorder="1" applyAlignment="1">
      <alignment horizontal="center" vertical="center" shrinkToFit="1"/>
    </xf>
    <xf numFmtId="0" fontId="30" fillId="2" borderId="383" xfId="0" applyFont="1" applyFill="1" applyBorder="1" applyAlignment="1">
      <alignment horizontal="center" vertical="center" shrinkToFit="1"/>
    </xf>
    <xf numFmtId="2" fontId="30" fillId="2" borderId="65" xfId="0" applyNumberFormat="1" applyFont="1" applyFill="1" applyBorder="1" applyAlignment="1">
      <alignment horizontal="center" vertical="center" shrinkToFit="1"/>
    </xf>
    <xf numFmtId="2" fontId="30" fillId="2" borderId="420" xfId="0" applyNumberFormat="1" applyFont="1" applyFill="1" applyBorder="1" applyAlignment="1">
      <alignment horizontal="center" vertical="center" shrinkToFit="1"/>
    </xf>
    <xf numFmtId="2" fontId="30" fillId="2" borderId="198" xfId="0" applyNumberFormat="1" applyFont="1" applyFill="1" applyBorder="1" applyAlignment="1">
      <alignment horizontal="center" vertical="center" shrinkToFit="1"/>
    </xf>
    <xf numFmtId="0" fontId="30" fillId="0" borderId="198" xfId="0" applyFont="1" applyBorder="1" applyAlignment="1">
      <alignment horizontal="center" vertical="center" shrinkToFit="1"/>
    </xf>
    <xf numFmtId="0" fontId="30" fillId="0" borderId="187" xfId="0" applyFont="1" applyBorder="1" applyAlignment="1">
      <alignment horizontal="center" vertical="center" shrinkToFit="1"/>
    </xf>
    <xf numFmtId="0" fontId="30" fillId="2" borderId="102" xfId="0" applyFont="1" applyFill="1" applyBorder="1" applyAlignment="1">
      <alignment horizontal="center" vertical="center"/>
    </xf>
    <xf numFmtId="0" fontId="30" fillId="2" borderId="193" xfId="0" applyFont="1" applyFill="1" applyBorder="1" applyAlignment="1">
      <alignment horizontal="center" vertical="center" shrinkToFit="1"/>
    </xf>
    <xf numFmtId="0" fontId="26" fillId="0" borderId="329" xfId="0" applyFont="1" applyBorder="1" applyAlignment="1">
      <alignment horizontal="center" vertical="center" shrinkToFit="1"/>
    </xf>
    <xf numFmtId="0" fontId="26" fillId="0" borderId="0" xfId="0" applyFont="1" applyAlignment="1">
      <alignment horizontal="center" vertical="center" shrinkToFit="1"/>
    </xf>
    <xf numFmtId="0" fontId="30" fillId="2" borderId="344" xfId="0" applyFont="1" applyFill="1" applyBorder="1" applyAlignment="1">
      <alignment horizontal="center" vertical="center" shrinkToFit="1"/>
    </xf>
    <xf numFmtId="0" fontId="30" fillId="2" borderId="346" xfId="0" applyFont="1" applyFill="1" applyBorder="1" applyAlignment="1">
      <alignment horizontal="center" vertical="center" shrinkToFit="1"/>
    </xf>
    <xf numFmtId="2" fontId="30" fillId="2" borderId="344" xfId="0" applyNumberFormat="1" applyFont="1" applyFill="1" applyBorder="1" applyAlignment="1">
      <alignment horizontal="center" vertical="center" shrinkToFit="1"/>
    </xf>
    <xf numFmtId="0" fontId="26" fillId="0" borderId="425" xfId="0" applyFont="1" applyBorder="1" applyAlignment="1">
      <alignment horizontal="center" vertical="center" shrinkToFit="1"/>
    </xf>
    <xf numFmtId="0" fontId="30" fillId="0" borderId="85" xfId="0" applyFont="1" applyBorder="1" applyAlignment="1">
      <alignment horizontal="center" vertical="center" shrinkToFit="1"/>
    </xf>
    <xf numFmtId="0" fontId="30" fillId="0" borderId="86" xfId="0" applyFont="1" applyBorder="1" applyAlignment="1">
      <alignment horizontal="center" vertical="center" shrinkToFit="1"/>
    </xf>
    <xf numFmtId="0" fontId="30" fillId="0" borderId="84" xfId="0" applyFont="1" applyBorder="1" applyAlignment="1">
      <alignment horizontal="center" vertical="center" shrinkToFit="1"/>
    </xf>
    <xf numFmtId="0" fontId="30" fillId="0" borderId="138" xfId="0" applyFont="1" applyBorder="1" applyAlignment="1">
      <alignment horizontal="center" vertical="center" shrinkToFit="1"/>
    </xf>
    <xf numFmtId="0" fontId="30" fillId="0" borderId="425" xfId="0" applyFont="1" applyBorder="1" applyAlignment="1">
      <alignment horizontal="center" vertical="center" shrinkToFit="1"/>
    </xf>
    <xf numFmtId="0" fontId="30" fillId="0" borderId="312" xfId="0" applyFont="1" applyBorder="1" applyAlignment="1">
      <alignment horizontal="center" vertical="center" shrinkToFit="1"/>
    </xf>
    <xf numFmtId="2" fontId="30" fillId="2" borderId="428" xfId="0" applyNumberFormat="1" applyFont="1" applyFill="1" applyBorder="1" applyAlignment="1">
      <alignment horizontal="center" vertical="center" shrinkToFit="1"/>
    </xf>
    <xf numFmtId="2" fontId="30" fillId="2" borderId="240" xfId="0" applyNumberFormat="1" applyFont="1" applyFill="1" applyBorder="1" applyAlignment="1">
      <alignment horizontal="center" vertical="center" shrinkToFit="1"/>
    </xf>
    <xf numFmtId="2" fontId="30" fillId="0" borderId="20" xfId="0" applyNumberFormat="1" applyFont="1" applyBorder="1" applyAlignment="1">
      <alignment horizontal="center" vertical="center" shrinkToFit="1"/>
    </xf>
    <xf numFmtId="2" fontId="26" fillId="0" borderId="309" xfId="0" applyNumberFormat="1" applyFont="1" applyBorder="1" applyAlignment="1">
      <alignment horizontal="center" vertical="center" shrinkToFit="1"/>
    </xf>
    <xf numFmtId="2" fontId="30" fillId="2" borderId="152" xfId="0" applyNumberFormat="1" applyFont="1" applyFill="1" applyBorder="1" applyAlignment="1">
      <alignment horizontal="center" vertical="center" shrinkToFit="1"/>
    </xf>
    <xf numFmtId="180" fontId="30" fillId="0" borderId="0" xfId="0" applyNumberFormat="1" applyFont="1">
      <alignment vertical="center"/>
    </xf>
    <xf numFmtId="2" fontId="30" fillId="2" borderId="431" xfId="0" applyNumberFormat="1" applyFont="1" applyFill="1" applyBorder="1" applyAlignment="1">
      <alignment horizontal="center" vertical="center" shrinkToFit="1"/>
    </xf>
    <xf numFmtId="2" fontId="30" fillId="2" borderId="92" xfId="0" applyNumberFormat="1" applyFont="1" applyFill="1" applyBorder="1" applyAlignment="1">
      <alignment horizontal="center" vertical="center" shrinkToFit="1"/>
    </xf>
    <xf numFmtId="2" fontId="30" fillId="2" borderId="434" xfId="0" applyNumberFormat="1" applyFont="1" applyFill="1" applyBorder="1" applyAlignment="1">
      <alignment horizontal="center" vertical="center" shrinkToFit="1"/>
    </xf>
    <xf numFmtId="2" fontId="30" fillId="2" borderId="62" xfId="0" applyNumberFormat="1" applyFont="1" applyFill="1" applyBorder="1" applyAlignment="1">
      <alignment horizontal="center" vertical="center" shrinkToFit="1"/>
    </xf>
    <xf numFmtId="0" fontId="46" fillId="2" borderId="20" xfId="0" applyFont="1" applyFill="1" applyBorder="1" applyAlignment="1">
      <alignment vertical="center" shrinkToFit="1"/>
    </xf>
    <xf numFmtId="2" fontId="30" fillId="2" borderId="394" xfId="0" applyNumberFormat="1" applyFont="1" applyFill="1" applyBorder="1" applyAlignment="1">
      <alignment horizontal="center" vertical="center" shrinkToFit="1"/>
    </xf>
    <xf numFmtId="2" fontId="30" fillId="0" borderId="17" xfId="0" applyNumberFormat="1" applyFont="1" applyBorder="1" applyAlignment="1">
      <alignment horizontal="center" vertical="center" shrinkToFit="1"/>
    </xf>
    <xf numFmtId="0" fontId="30" fillId="2" borderId="0" xfId="0" applyFont="1" applyFill="1" applyAlignment="1">
      <alignment horizontal="left" vertical="center"/>
    </xf>
    <xf numFmtId="0" fontId="30" fillId="0" borderId="2" xfId="0" applyFont="1" applyBorder="1" applyAlignment="1">
      <alignment horizontal="center" vertical="center" shrinkToFit="1"/>
    </xf>
    <xf numFmtId="0" fontId="30" fillId="3" borderId="30" xfId="0" applyFont="1" applyFill="1" applyBorder="1">
      <alignment vertical="center"/>
    </xf>
    <xf numFmtId="0" fontId="46" fillId="2" borderId="0" xfId="0" applyFont="1" applyFill="1" applyAlignment="1">
      <alignment vertical="center" wrapText="1"/>
    </xf>
    <xf numFmtId="0" fontId="30" fillId="3" borderId="253" xfId="0" applyFont="1" applyFill="1" applyBorder="1" applyAlignment="1">
      <alignment horizontal="center" vertical="center" shrinkToFit="1"/>
    </xf>
    <xf numFmtId="0" fontId="30" fillId="3" borderId="438" xfId="0" applyFont="1" applyFill="1" applyBorder="1" applyAlignment="1">
      <alignment horizontal="center" vertical="center" shrinkToFit="1"/>
    </xf>
    <xf numFmtId="0" fontId="26" fillId="0" borderId="11" xfId="0" applyFont="1" applyBorder="1">
      <alignment vertical="center"/>
    </xf>
    <xf numFmtId="0" fontId="30" fillId="0" borderId="35" xfId="0" applyFont="1" applyBorder="1" applyAlignment="1">
      <alignment horizontal="center" vertical="center"/>
    </xf>
    <xf numFmtId="0" fontId="30" fillId="0" borderId="35" xfId="0" applyFont="1" applyBorder="1">
      <alignment vertical="center"/>
    </xf>
    <xf numFmtId="0" fontId="30" fillId="0" borderId="30" xfId="0" applyFont="1" applyBorder="1" applyAlignment="1">
      <alignment horizontal="center" vertical="center"/>
    </xf>
    <xf numFmtId="0" fontId="30" fillId="2" borderId="184" xfId="0" applyFont="1" applyFill="1" applyBorder="1" applyAlignment="1">
      <alignment horizontal="center" vertical="center" shrinkToFit="1"/>
    </xf>
    <xf numFmtId="2" fontId="30" fillId="2" borderId="440" xfId="0" applyNumberFormat="1" applyFont="1" applyFill="1" applyBorder="1">
      <alignment vertical="center"/>
    </xf>
    <xf numFmtId="2" fontId="30" fillId="16" borderId="441" xfId="0" applyNumberFormat="1" applyFont="1" applyFill="1" applyBorder="1" applyAlignment="1">
      <alignment horizontal="center" vertical="center"/>
    </xf>
    <xf numFmtId="2" fontId="30" fillId="16" borderId="160" xfId="0" applyNumberFormat="1" applyFont="1" applyFill="1" applyBorder="1" applyAlignment="1">
      <alignment horizontal="center" vertical="center"/>
    </xf>
    <xf numFmtId="2" fontId="30" fillId="16" borderId="442" xfId="0" applyNumberFormat="1" applyFont="1" applyFill="1" applyBorder="1" applyAlignment="1">
      <alignment horizontal="center" vertical="center"/>
    </xf>
    <xf numFmtId="212" fontId="52" fillId="2" borderId="443" xfId="0" applyNumberFormat="1" applyFont="1" applyFill="1" applyBorder="1" applyAlignment="1">
      <alignment horizontal="right" vertical="center"/>
    </xf>
    <xf numFmtId="2" fontId="30" fillId="2" borderId="0" xfId="0" applyNumberFormat="1" applyFont="1" applyFill="1" applyAlignment="1">
      <alignment horizontal="center" vertical="center"/>
    </xf>
    <xf numFmtId="0" fontId="26" fillId="0" borderId="37" xfId="0" applyFont="1" applyBorder="1">
      <alignment vertical="center"/>
    </xf>
    <xf numFmtId="0" fontId="30" fillId="0" borderId="39" xfId="0" applyFont="1" applyBorder="1">
      <alignment vertical="center"/>
    </xf>
    <xf numFmtId="0" fontId="30" fillId="2" borderId="444" xfId="0" applyFont="1" applyFill="1" applyBorder="1" applyAlignment="1">
      <alignment horizontal="center" vertical="center" shrinkToFit="1"/>
    </xf>
    <xf numFmtId="2" fontId="30" fillId="2" borderId="235" xfId="0" applyNumberFormat="1" applyFont="1" applyFill="1" applyBorder="1">
      <alignment vertical="center"/>
    </xf>
    <xf numFmtId="2" fontId="30" fillId="2" borderId="233" xfId="0" applyNumberFormat="1" applyFont="1" applyFill="1" applyBorder="1" applyAlignment="1">
      <alignment horizontal="center" vertical="center"/>
    </xf>
    <xf numFmtId="2" fontId="30" fillId="2" borderId="190" xfId="0" applyNumberFormat="1" applyFont="1" applyFill="1" applyBorder="1" applyAlignment="1">
      <alignment horizontal="center" vertical="center"/>
    </xf>
    <xf numFmtId="212" fontId="52" fillId="2" borderId="234" xfId="0" applyNumberFormat="1" applyFont="1" applyFill="1" applyBorder="1" applyAlignment="1">
      <alignment horizontal="right" vertical="center"/>
    </xf>
    <xf numFmtId="2" fontId="30" fillId="2" borderId="0" xfId="0" applyNumberFormat="1" applyFont="1" applyFill="1" applyAlignment="1">
      <alignment horizontal="left" vertical="center"/>
    </xf>
    <xf numFmtId="0" fontId="17" fillId="0" borderId="123" xfId="0" applyFont="1" applyBorder="1" applyAlignment="1">
      <alignment horizontal="center" vertical="center"/>
    </xf>
    <xf numFmtId="0" fontId="30" fillId="2" borderId="134" xfId="0" applyFont="1" applyFill="1" applyBorder="1" applyAlignment="1">
      <alignment horizontal="center" vertical="center" shrinkToFit="1"/>
    </xf>
    <xf numFmtId="2" fontId="30" fillId="2" borderId="446" xfId="0" applyNumberFormat="1" applyFont="1" applyFill="1" applyBorder="1" applyAlignment="1">
      <alignment horizontal="center" vertical="center"/>
    </xf>
    <xf numFmtId="2" fontId="30" fillId="2" borderId="106" xfId="0" applyNumberFormat="1" applyFont="1" applyFill="1" applyBorder="1" applyAlignment="1">
      <alignment horizontal="center" vertical="center"/>
    </xf>
    <xf numFmtId="0" fontId="17" fillId="0" borderId="26" xfId="0" applyFont="1" applyBorder="1" applyAlignment="1">
      <alignment horizontal="center" vertical="center"/>
    </xf>
    <xf numFmtId="2" fontId="30" fillId="16" borderId="446" xfId="0" applyNumberFormat="1" applyFont="1" applyFill="1" applyBorder="1" applyAlignment="1">
      <alignment horizontal="center" vertical="center"/>
    </xf>
    <xf numFmtId="213" fontId="52" fillId="2" borderId="162" xfId="0" applyNumberFormat="1" applyFont="1" applyFill="1" applyBorder="1" applyAlignment="1">
      <alignment horizontal="right" vertical="center"/>
    </xf>
    <xf numFmtId="0" fontId="17" fillId="0" borderId="48" xfId="0" applyFont="1" applyBorder="1" applyAlignment="1">
      <alignment horizontal="center" vertical="center"/>
    </xf>
    <xf numFmtId="0" fontId="17" fillId="0" borderId="43" xfId="0" applyFont="1" applyBorder="1" applyAlignment="1">
      <alignment horizontal="center" vertical="center"/>
    </xf>
    <xf numFmtId="2" fontId="30" fillId="16" borderId="447" xfId="0" applyNumberFormat="1" applyFont="1" applyFill="1" applyBorder="1" applyAlignment="1">
      <alignment horizontal="center" vertical="center"/>
    </xf>
    <xf numFmtId="0" fontId="37" fillId="0" borderId="30" xfId="0" applyFont="1" applyBorder="1" applyAlignment="1">
      <alignment horizontal="center" vertical="center" wrapText="1"/>
    </xf>
    <xf numFmtId="0" fontId="13" fillId="0" borderId="46" xfId="0" applyFont="1" applyBorder="1" applyAlignment="1">
      <alignment horizontal="center" vertical="center"/>
    </xf>
    <xf numFmtId="0" fontId="13" fillId="0" borderId="3" xfId="0" applyFont="1" applyBorder="1" applyAlignment="1">
      <alignment horizontal="center" vertical="center"/>
    </xf>
    <xf numFmtId="0" fontId="13" fillId="0" borderId="47" xfId="0" applyFont="1" applyBorder="1" applyAlignment="1">
      <alignment horizontal="center" vertical="center"/>
    </xf>
    <xf numFmtId="0" fontId="13" fillId="0" borderId="46" xfId="0" applyFont="1" applyBorder="1" applyAlignment="1">
      <alignment horizontal="center" vertical="center" shrinkToFit="1"/>
    </xf>
    <xf numFmtId="0" fontId="30" fillId="2" borderId="158" xfId="0" applyFont="1" applyFill="1" applyBorder="1" applyAlignment="1">
      <alignment horizontal="center" vertical="center" shrinkToFit="1"/>
    </xf>
    <xf numFmtId="2" fontId="30" fillId="2" borderId="452" xfId="0" applyNumberFormat="1" applyFont="1" applyFill="1" applyBorder="1">
      <alignment vertical="center"/>
    </xf>
    <xf numFmtId="2" fontId="30" fillId="2" borderId="453" xfId="0" applyNumberFormat="1" applyFont="1" applyFill="1" applyBorder="1" applyAlignment="1">
      <alignment horizontal="center" vertical="center"/>
    </xf>
    <xf numFmtId="2" fontId="30" fillId="2" borderId="72" xfId="0" applyNumberFormat="1" applyFont="1" applyFill="1" applyBorder="1" applyAlignment="1">
      <alignment horizontal="center" vertical="center"/>
    </xf>
    <xf numFmtId="212" fontId="52" fillId="2" borderId="163" xfId="0" applyNumberFormat="1" applyFont="1" applyFill="1" applyBorder="1" applyAlignment="1">
      <alignment horizontal="right" vertical="center"/>
    </xf>
    <xf numFmtId="0" fontId="37" fillId="0" borderId="34" xfId="0" applyFont="1" applyBorder="1" applyAlignment="1">
      <alignment horizontal="center" vertical="center" wrapText="1"/>
    </xf>
    <xf numFmtId="0" fontId="13" fillId="0" borderId="74" xfId="0" applyFont="1" applyBorder="1" applyAlignment="1">
      <alignment horizontal="center" vertical="center"/>
    </xf>
    <xf numFmtId="0" fontId="13" fillId="0" borderId="67" xfId="0" applyFont="1" applyBorder="1" applyAlignment="1">
      <alignment horizontal="center" vertical="center"/>
    </xf>
    <xf numFmtId="0" fontId="30" fillId="2" borderId="0" xfId="0" applyFont="1" applyFill="1" applyAlignment="1">
      <alignment horizontal="right" vertical="center"/>
    </xf>
    <xf numFmtId="0" fontId="13" fillId="0" borderId="186" xfId="0" applyFont="1" applyBorder="1">
      <alignment vertical="center"/>
    </xf>
    <xf numFmtId="0" fontId="13" fillId="0" borderId="0" xfId="1" applyFont="1" applyAlignment="1">
      <alignment horizontal="center" vertical="center" wrapText="1" shrinkToFit="1"/>
    </xf>
    <xf numFmtId="0" fontId="37" fillId="0" borderId="39" xfId="0" applyFont="1" applyBorder="1" applyAlignment="1">
      <alignment horizontal="center" vertical="center" wrapText="1"/>
    </xf>
    <xf numFmtId="0" fontId="42" fillId="0" borderId="48" xfId="0" applyFont="1" applyBorder="1" applyAlignment="1">
      <alignment vertical="center" wrapText="1"/>
    </xf>
    <xf numFmtId="0" fontId="42" fillId="0" borderId="6" xfId="0" applyFont="1" applyBorder="1" applyAlignment="1">
      <alignment vertical="center" wrapText="1"/>
    </xf>
    <xf numFmtId="0" fontId="13" fillId="0" borderId="5" xfId="0" applyFont="1" applyBorder="1">
      <alignment vertical="center"/>
    </xf>
    <xf numFmtId="0" fontId="13" fillId="0" borderId="55" xfId="0" applyFont="1" applyBorder="1">
      <alignment vertical="center"/>
    </xf>
    <xf numFmtId="0" fontId="13" fillId="0" borderId="68" xfId="0" applyFont="1" applyBorder="1">
      <alignment vertical="center"/>
    </xf>
    <xf numFmtId="0" fontId="30" fillId="3" borderId="457" xfId="0" applyFont="1" applyFill="1" applyBorder="1" applyAlignment="1">
      <alignment horizontal="center" vertical="center"/>
    </xf>
    <xf numFmtId="0" fontId="13" fillId="3" borderId="458" xfId="1" applyFont="1" applyFill="1" applyBorder="1" applyAlignment="1">
      <alignment horizontal="center" vertical="center" wrapText="1" shrinkToFit="1"/>
    </xf>
    <xf numFmtId="193" fontId="13" fillId="0" borderId="0" xfId="1" applyNumberFormat="1" applyFont="1" applyAlignment="1">
      <alignment horizontal="center" vertical="center" shrinkToFit="1"/>
    </xf>
    <xf numFmtId="177" fontId="13" fillId="0" borderId="0" xfId="1" applyNumberFormat="1" applyFont="1" applyAlignment="1">
      <alignment horizontal="right" vertical="center" shrinkToFit="1"/>
    </xf>
    <xf numFmtId="0" fontId="13" fillId="0" borderId="0" xfId="1" applyFont="1" applyAlignment="1">
      <alignment vertical="center" shrinkToFit="1"/>
    </xf>
    <xf numFmtId="203" fontId="52" fillId="0" borderId="0" xfId="4" applyNumberFormat="1" applyFont="1" applyFill="1" applyBorder="1" applyAlignment="1" applyProtection="1">
      <alignment vertical="center" shrinkToFit="1"/>
    </xf>
    <xf numFmtId="203" fontId="13" fillId="0" borderId="0" xfId="1" applyNumberFormat="1" applyFont="1" applyAlignment="1">
      <alignment horizontal="right" vertical="center" shrinkToFit="1"/>
    </xf>
    <xf numFmtId="212" fontId="30" fillId="2" borderId="4" xfId="0" applyNumberFormat="1" applyFont="1" applyFill="1" applyBorder="1" applyAlignment="1">
      <alignment horizontal="right" vertical="center" shrinkToFit="1"/>
    </xf>
    <xf numFmtId="212" fontId="52" fillId="2" borderId="4" xfId="4" applyNumberFormat="1" applyFont="1" applyFill="1" applyBorder="1" applyAlignment="1" applyProtection="1">
      <alignment horizontal="right" vertical="center" shrinkToFit="1"/>
    </xf>
    <xf numFmtId="215" fontId="30" fillId="0" borderId="0" xfId="0" applyNumberFormat="1" applyFont="1" applyAlignment="1">
      <alignment horizontal="right" vertical="center"/>
    </xf>
    <xf numFmtId="209" fontId="30" fillId="0" borderId="0" xfId="0" applyNumberFormat="1" applyFont="1" applyAlignment="1">
      <alignment horizontal="right" vertical="center"/>
    </xf>
    <xf numFmtId="209" fontId="52" fillId="0" borderId="0" xfId="4" applyNumberFormat="1" applyFont="1" applyBorder="1" applyAlignment="1" applyProtection="1">
      <alignment horizontal="right" vertical="center" shrinkToFit="1"/>
    </xf>
    <xf numFmtId="193" fontId="13" fillId="0" borderId="0" xfId="1" applyNumberFormat="1" applyFont="1" applyAlignment="1">
      <alignment vertical="center" shrinkToFit="1"/>
    </xf>
    <xf numFmtId="0" fontId="30" fillId="0" borderId="0" xfId="0" applyFont="1" applyAlignment="1">
      <alignment vertical="center" wrapText="1" shrinkToFit="1"/>
    </xf>
    <xf numFmtId="177" fontId="13" fillId="0" borderId="0" xfId="1" applyNumberFormat="1" applyFont="1" applyAlignment="1">
      <alignment wrapText="1"/>
    </xf>
    <xf numFmtId="0" fontId="57" fillId="2" borderId="0" xfId="3" applyFont="1" applyFill="1" applyAlignment="1">
      <alignment vertical="center" shrinkToFit="1"/>
    </xf>
    <xf numFmtId="0" fontId="57" fillId="0" borderId="0" xfId="3" applyFont="1" applyAlignment="1">
      <alignment vertical="center" shrinkToFit="1"/>
    </xf>
    <xf numFmtId="0" fontId="57" fillId="0" borderId="4" xfId="3" applyFont="1" applyBorder="1" applyAlignment="1">
      <alignment vertical="center" shrinkToFit="1"/>
    </xf>
    <xf numFmtId="0" fontId="65" fillId="0" borderId="4" xfId="3" applyFont="1" applyBorder="1" applyAlignment="1">
      <alignment shrinkToFit="1"/>
    </xf>
    <xf numFmtId="0" fontId="65" fillId="2" borderId="0" xfId="3" applyFont="1" applyFill="1" applyAlignment="1">
      <alignment shrinkToFit="1"/>
    </xf>
    <xf numFmtId="0" fontId="65" fillId="0" borderId="0" xfId="3" applyFont="1" applyAlignment="1">
      <alignment shrinkToFit="1"/>
    </xf>
    <xf numFmtId="0" fontId="65" fillId="2" borderId="0" xfId="3" applyFont="1" applyFill="1" applyAlignment="1">
      <alignment vertical="center" shrinkToFit="1"/>
    </xf>
    <xf numFmtId="0" fontId="65" fillId="2" borderId="10" xfId="3" applyFont="1" applyFill="1" applyBorder="1" applyAlignment="1">
      <alignment horizontal="center" vertical="center" shrinkToFit="1"/>
    </xf>
    <xf numFmtId="0" fontId="65" fillId="0" borderId="4" xfId="3" applyFont="1" applyBorder="1" applyAlignment="1">
      <alignment vertical="center" shrinkToFit="1"/>
    </xf>
    <xf numFmtId="14" fontId="65" fillId="0" borderId="4" xfId="3" applyNumberFormat="1" applyFont="1" applyBorder="1" applyAlignment="1">
      <alignment vertical="center" shrinkToFit="1"/>
    </xf>
    <xf numFmtId="0" fontId="65" fillId="2" borderId="18" xfId="3" applyFont="1" applyFill="1" applyBorder="1" applyAlignment="1">
      <alignment horizontal="center" vertical="center" shrinkToFit="1"/>
    </xf>
    <xf numFmtId="0" fontId="65" fillId="3" borderId="131" xfId="3" applyFont="1" applyFill="1" applyBorder="1" applyAlignment="1">
      <alignment horizontal="center" vertical="center" shrinkToFit="1"/>
    </xf>
    <xf numFmtId="206" fontId="65" fillId="2" borderId="398" xfId="3" applyNumberFormat="1" applyFont="1" applyFill="1" applyBorder="1" applyAlignment="1">
      <alignment horizontal="center" vertical="center" shrinkToFit="1"/>
    </xf>
    <xf numFmtId="14" fontId="65" fillId="0" borderId="4" xfId="3" applyNumberFormat="1" applyFont="1" applyBorder="1" applyAlignment="1">
      <alignment shrinkToFit="1"/>
    </xf>
    <xf numFmtId="206" fontId="65" fillId="2" borderId="265" xfId="3" applyNumberFormat="1" applyFont="1" applyFill="1" applyBorder="1" applyAlignment="1">
      <alignment horizontal="center" vertical="center" shrinkToFit="1"/>
    </xf>
    <xf numFmtId="206" fontId="65" fillId="2" borderId="401" xfId="3" applyNumberFormat="1" applyFont="1" applyFill="1" applyBorder="1" applyAlignment="1">
      <alignment horizontal="center" vertical="center" shrinkToFit="1"/>
    </xf>
    <xf numFmtId="0" fontId="65" fillId="2" borderId="131" xfId="3" applyFont="1" applyFill="1" applyBorder="1" applyAlignment="1">
      <alignment horizontal="center" vertical="center" shrinkToFit="1"/>
    </xf>
    <xf numFmtId="207" fontId="65" fillId="2" borderId="261" xfId="3" applyNumberFormat="1" applyFont="1" applyFill="1" applyBorder="1" applyAlignment="1">
      <alignment horizontal="center" vertical="center" shrinkToFit="1"/>
    </xf>
    <xf numFmtId="0" fontId="17" fillId="0" borderId="0" xfId="3" applyFont="1" applyAlignment="1">
      <alignment horizontal="right" vertical="center" textRotation="180" shrinkToFit="1"/>
    </xf>
    <xf numFmtId="0" fontId="18" fillId="2" borderId="0" xfId="3" applyFont="1" applyFill="1" applyAlignment="1">
      <alignment horizontal="left" vertical="center"/>
    </xf>
    <xf numFmtId="0" fontId="17" fillId="2" borderId="0" xfId="3" applyFont="1" applyFill="1" applyAlignment="1">
      <alignment horizontal="left" vertical="center"/>
    </xf>
    <xf numFmtId="0" fontId="17" fillId="2" borderId="0" xfId="3" applyFont="1" applyFill="1" applyAlignment="1">
      <alignment vertical="center" shrinkToFit="1"/>
    </xf>
    <xf numFmtId="0" fontId="13" fillId="0" borderId="4" xfId="3" applyFont="1" applyBorder="1" applyAlignment="1">
      <alignment shrinkToFit="1"/>
    </xf>
    <xf numFmtId="0" fontId="17" fillId="0" borderId="0" xfId="3" applyFont="1" applyAlignment="1">
      <alignment vertical="center" shrinkToFit="1"/>
    </xf>
    <xf numFmtId="0" fontId="13" fillId="0" borderId="4" xfId="3" applyFont="1" applyBorder="1" applyAlignment="1">
      <alignment horizontal="center" shrinkToFit="1"/>
    </xf>
    <xf numFmtId="0" fontId="13" fillId="0" borderId="0" xfId="3" applyFont="1" applyAlignment="1">
      <alignment shrinkToFit="1"/>
    </xf>
    <xf numFmtId="0" fontId="13" fillId="0" borderId="0" xfId="3" applyFont="1" applyAlignment="1">
      <alignment vertical="top" textRotation="180" shrinkToFit="1"/>
    </xf>
    <xf numFmtId="0" fontId="13" fillId="2" borderId="0" xfId="3" applyFont="1" applyFill="1" applyAlignment="1">
      <alignment horizontal="center" vertical="center" shrinkToFit="1"/>
    </xf>
    <xf numFmtId="204" fontId="17" fillId="2" borderId="0" xfId="3" applyNumberFormat="1" applyFont="1" applyFill="1" applyAlignment="1">
      <alignment horizontal="left" vertical="center"/>
    </xf>
    <xf numFmtId="0" fontId="13" fillId="3" borderId="239" xfId="3" applyFont="1" applyFill="1" applyBorder="1" applyAlignment="1">
      <alignment horizontal="center" vertical="center" shrinkToFit="1"/>
    </xf>
    <xf numFmtId="0" fontId="17" fillId="3" borderId="241" xfId="3" applyFont="1" applyFill="1" applyBorder="1" applyAlignment="1">
      <alignment horizontal="center" vertical="center" shrinkToFit="1"/>
    </xf>
    <xf numFmtId="0" fontId="17" fillId="3" borderId="242" xfId="3" applyFont="1" applyFill="1" applyBorder="1" applyAlignment="1">
      <alignment horizontal="center" vertical="center" shrinkToFit="1"/>
    </xf>
    <xf numFmtId="0" fontId="17" fillId="3" borderId="243" xfId="3" applyFont="1" applyFill="1" applyBorder="1" applyAlignment="1">
      <alignment horizontal="center" vertical="center" shrinkToFit="1"/>
    </xf>
    <xf numFmtId="197" fontId="13" fillId="0" borderId="0" xfId="3" applyNumberFormat="1" applyFont="1" applyAlignment="1">
      <alignment horizontal="center" vertical="center" shrinkToFit="1"/>
    </xf>
    <xf numFmtId="0" fontId="17" fillId="0" borderId="4" xfId="3" applyFont="1" applyBorder="1" applyAlignment="1">
      <alignment horizontal="center" vertical="center" shrinkToFit="1"/>
    </xf>
    <xf numFmtId="0" fontId="13" fillId="3" borderId="64" xfId="3" applyFont="1" applyFill="1" applyBorder="1" applyAlignment="1">
      <alignment horizontal="center" vertical="center" shrinkToFit="1"/>
    </xf>
    <xf numFmtId="0" fontId="13" fillId="2" borderId="87" xfId="3" applyFont="1" applyFill="1" applyBorder="1" applyAlignment="1">
      <alignment horizontal="center" vertical="center" shrinkToFit="1"/>
    </xf>
    <xf numFmtId="198" fontId="13" fillId="6" borderId="175" xfId="3" applyNumberFormat="1" applyFont="1" applyFill="1" applyBorder="1" applyAlignment="1" applyProtection="1">
      <alignment horizontal="center" vertical="center" shrinkToFit="1"/>
      <protection locked="0"/>
    </xf>
    <xf numFmtId="198" fontId="13" fillId="6" borderId="153" xfId="3" applyNumberFormat="1" applyFont="1" applyFill="1" applyBorder="1" applyAlignment="1" applyProtection="1">
      <alignment horizontal="center" vertical="center" shrinkToFit="1"/>
      <protection locked="0"/>
    </xf>
    <xf numFmtId="198" fontId="13" fillId="6" borderId="154" xfId="3" applyNumberFormat="1" applyFont="1" applyFill="1" applyBorder="1" applyAlignment="1" applyProtection="1">
      <alignment horizontal="center" vertical="center" shrinkToFit="1"/>
      <protection locked="0"/>
    </xf>
    <xf numFmtId="204" fontId="13" fillId="0" borderId="257" xfId="2" applyNumberFormat="1" applyFont="1" applyFill="1" applyBorder="1" applyAlignment="1" applyProtection="1">
      <alignment horizontal="right" vertical="center" shrinkToFit="1"/>
    </xf>
    <xf numFmtId="49" fontId="13" fillId="0" borderId="0" xfId="2" applyNumberFormat="1" applyFont="1" applyFill="1" applyBorder="1" applyAlignment="1" applyProtection="1">
      <alignment horizontal="right" vertical="center" shrinkToFit="1"/>
    </xf>
    <xf numFmtId="197" fontId="13" fillId="0" borderId="0" xfId="3" applyNumberFormat="1" applyFont="1" applyAlignment="1">
      <alignment shrinkToFit="1"/>
    </xf>
    <xf numFmtId="0" fontId="13" fillId="2" borderId="90" xfId="3" applyFont="1" applyFill="1" applyBorder="1" applyAlignment="1">
      <alignment horizontal="center" vertical="center" shrinkToFit="1"/>
    </xf>
    <xf numFmtId="198" fontId="13" fillId="6" borderId="244" xfId="3" applyNumberFormat="1" applyFont="1" applyFill="1" applyBorder="1" applyAlignment="1" applyProtection="1">
      <alignment horizontal="center" vertical="center" shrinkToFit="1"/>
      <protection locked="0"/>
    </xf>
    <xf numFmtId="198" fontId="13" fillId="6" borderId="245" xfId="3" applyNumberFormat="1" applyFont="1" applyFill="1" applyBorder="1" applyAlignment="1" applyProtection="1">
      <alignment horizontal="center" vertical="center" shrinkToFit="1"/>
      <protection locked="0"/>
    </xf>
    <xf numFmtId="198" fontId="13" fillId="6" borderId="246" xfId="3" applyNumberFormat="1" applyFont="1" applyFill="1" applyBorder="1" applyAlignment="1" applyProtection="1">
      <alignment horizontal="center" vertical="center" shrinkToFit="1"/>
      <protection locked="0"/>
    </xf>
    <xf numFmtId="204" fontId="13" fillId="0" borderId="249" xfId="2" applyNumberFormat="1" applyFont="1" applyFill="1" applyBorder="1" applyAlignment="1" applyProtection="1">
      <alignment horizontal="right" vertical="center" shrinkToFit="1"/>
    </xf>
    <xf numFmtId="0" fontId="13" fillId="2" borderId="250" xfId="3" applyFont="1" applyFill="1" applyBorder="1" applyAlignment="1">
      <alignment horizontal="center" vertical="center" shrinkToFit="1"/>
    </xf>
    <xf numFmtId="198" fontId="13" fillId="6" borderId="252" xfId="3" applyNumberFormat="1" applyFont="1" applyFill="1" applyBorder="1" applyAlignment="1" applyProtection="1">
      <alignment horizontal="center" vertical="center" shrinkToFit="1"/>
      <protection locked="0"/>
    </xf>
    <xf numFmtId="198" fontId="13" fillId="6" borderId="253" xfId="3" applyNumberFormat="1" applyFont="1" applyFill="1" applyBorder="1" applyAlignment="1" applyProtection="1">
      <alignment horizontal="center" vertical="center" shrinkToFit="1"/>
      <protection locked="0"/>
    </xf>
    <xf numFmtId="198" fontId="13" fillId="6" borderId="254" xfId="3" applyNumberFormat="1" applyFont="1" applyFill="1" applyBorder="1" applyAlignment="1" applyProtection="1">
      <alignment horizontal="center" vertical="center" shrinkToFit="1"/>
      <protection locked="0"/>
    </xf>
    <xf numFmtId="204" fontId="13" fillId="0" borderId="255" xfId="2" applyNumberFormat="1" applyFont="1" applyFill="1" applyBorder="1" applyAlignment="1" applyProtection="1">
      <alignment horizontal="right" vertical="center" shrinkToFit="1"/>
    </xf>
    <xf numFmtId="0" fontId="70" fillId="2" borderId="0" xfId="3" applyFont="1" applyFill="1" applyAlignment="1">
      <alignment horizontal="left" vertical="center"/>
    </xf>
    <xf numFmtId="0" fontId="45" fillId="0" borderId="17" xfId="0" applyFont="1" applyBorder="1">
      <alignment vertical="center"/>
    </xf>
    <xf numFmtId="0" fontId="58" fillId="2" borderId="0" xfId="0" applyFont="1" applyFill="1" applyAlignment="1">
      <alignment vertical="center" shrinkToFit="1"/>
    </xf>
    <xf numFmtId="0" fontId="58" fillId="2" borderId="0" xfId="3" applyFont="1" applyFill="1" applyAlignment="1">
      <alignment horizontal="left" vertical="center"/>
    </xf>
    <xf numFmtId="0" fontId="58" fillId="2" borderId="0" xfId="3" applyFont="1" applyFill="1" applyAlignment="1">
      <alignment vertical="center" wrapText="1"/>
    </xf>
    <xf numFmtId="0" fontId="71" fillId="2" borderId="42" xfId="0" applyFont="1" applyFill="1" applyBorder="1" applyAlignment="1">
      <alignment horizontal="left" vertical="center" wrapText="1"/>
    </xf>
    <xf numFmtId="0" fontId="45" fillId="2" borderId="98" xfId="0" applyFont="1" applyFill="1" applyBorder="1">
      <alignment vertical="center"/>
    </xf>
    <xf numFmtId="0" fontId="45" fillId="2" borderId="198" xfId="0" applyFont="1" applyFill="1" applyBorder="1">
      <alignment vertical="center"/>
    </xf>
    <xf numFmtId="0" fontId="45" fillId="2" borderId="16" xfId="0" applyFont="1" applyFill="1" applyBorder="1">
      <alignment vertical="center"/>
    </xf>
    <xf numFmtId="0" fontId="45" fillId="2" borderId="34" xfId="0" applyFont="1" applyFill="1" applyBorder="1" applyAlignment="1">
      <alignment horizontal="center" vertical="center"/>
    </xf>
    <xf numFmtId="0" fontId="47" fillId="2" borderId="0" xfId="0" applyFont="1" applyFill="1">
      <alignment vertical="center"/>
    </xf>
    <xf numFmtId="14" fontId="45" fillId="0" borderId="4" xfId="0" applyNumberFormat="1" applyFont="1" applyBorder="1">
      <alignment vertical="center"/>
    </xf>
    <xf numFmtId="0" fontId="45" fillId="0" borderId="18" xfId="0" applyFont="1" applyBorder="1">
      <alignment vertical="center"/>
    </xf>
    <xf numFmtId="0" fontId="45" fillId="2" borderId="468" xfId="0" applyFont="1" applyFill="1" applyBorder="1" applyAlignment="1">
      <alignment horizontal="center" vertical="center"/>
    </xf>
    <xf numFmtId="0" fontId="45" fillId="2" borderId="36" xfId="0" applyFont="1" applyFill="1" applyBorder="1">
      <alignment vertical="center"/>
    </xf>
    <xf numFmtId="0" fontId="45" fillId="2" borderId="37" xfId="0" applyFont="1" applyFill="1" applyBorder="1">
      <alignment vertical="center"/>
    </xf>
    <xf numFmtId="0" fontId="13" fillId="2" borderId="36" xfId="0" applyFont="1" applyFill="1" applyBorder="1">
      <alignment vertical="center"/>
    </xf>
    <xf numFmtId="0" fontId="17" fillId="2" borderId="0" xfId="0" applyFont="1" applyFill="1">
      <alignment vertical="center"/>
    </xf>
    <xf numFmtId="0" fontId="13" fillId="2" borderId="34" xfId="0" applyFont="1" applyFill="1" applyBorder="1" applyAlignment="1">
      <alignment vertical="center" shrinkToFit="1"/>
    </xf>
    <xf numFmtId="0" fontId="13" fillId="2" borderId="34" xfId="0" applyFont="1" applyFill="1" applyBorder="1">
      <alignment vertical="center"/>
    </xf>
    <xf numFmtId="0" fontId="19" fillId="2" borderId="0" xfId="0" applyFont="1" applyFill="1" applyAlignment="1">
      <alignment vertical="center" shrinkToFit="1"/>
    </xf>
    <xf numFmtId="0" fontId="10" fillId="2" borderId="0" xfId="0" applyFont="1" applyFill="1">
      <alignment vertical="center"/>
    </xf>
    <xf numFmtId="0" fontId="10" fillId="2" borderId="34" xfId="0" applyFont="1" applyFill="1" applyBorder="1">
      <alignment vertical="center"/>
    </xf>
    <xf numFmtId="0" fontId="13" fillId="2" borderId="14" xfId="0" applyFont="1" applyFill="1" applyBorder="1">
      <alignment vertical="center"/>
    </xf>
    <xf numFmtId="0" fontId="15" fillId="2" borderId="74" xfId="0" applyFont="1" applyFill="1" applyBorder="1" applyAlignment="1">
      <alignment vertical="center" shrinkToFit="1"/>
    </xf>
    <xf numFmtId="0" fontId="13" fillId="2" borderId="74" xfId="0" applyFont="1" applyFill="1" applyBorder="1" applyAlignment="1">
      <alignment vertical="center" shrinkToFit="1"/>
    </xf>
    <xf numFmtId="0" fontId="18" fillId="2" borderId="97" xfId="0" applyFont="1" applyFill="1" applyBorder="1">
      <alignment vertical="center"/>
    </xf>
    <xf numFmtId="0" fontId="13" fillId="2" borderId="39" xfId="0" applyFont="1" applyFill="1" applyBorder="1">
      <alignment vertical="center"/>
    </xf>
    <xf numFmtId="0" fontId="18" fillId="2" borderId="74" xfId="0" applyFont="1" applyFill="1" applyBorder="1">
      <alignment vertical="center"/>
    </xf>
    <xf numFmtId="0" fontId="13" fillId="2" borderId="74" xfId="0" applyFont="1" applyFill="1" applyBorder="1">
      <alignment vertical="center"/>
    </xf>
    <xf numFmtId="0" fontId="13" fillId="2" borderId="48" xfId="0" applyFont="1" applyFill="1" applyBorder="1">
      <alignment vertical="center"/>
    </xf>
    <xf numFmtId="0" fontId="13" fillId="2" borderId="15" xfId="0" applyFont="1" applyFill="1" applyBorder="1">
      <alignment vertical="center"/>
    </xf>
    <xf numFmtId="0" fontId="13" fillId="2" borderId="61" xfId="0" applyFont="1" applyFill="1" applyBorder="1" applyAlignment="1">
      <alignment horizontal="center" vertical="center" shrinkToFit="1"/>
    </xf>
    <xf numFmtId="0" fontId="10" fillId="2" borderId="0" xfId="0" applyFont="1" applyFill="1" applyAlignment="1">
      <alignment horizontal="center" vertical="center"/>
    </xf>
    <xf numFmtId="0" fontId="10" fillId="2" borderId="0" xfId="0" applyFont="1" applyFill="1" applyAlignment="1">
      <alignment horizontal="left" vertical="center"/>
    </xf>
    <xf numFmtId="0" fontId="30" fillId="2" borderId="17" xfId="0" applyFont="1" applyFill="1" applyBorder="1" applyAlignment="1">
      <alignment horizontal="center" vertical="center" wrapText="1"/>
    </xf>
    <xf numFmtId="0" fontId="10" fillId="2" borderId="21" xfId="0" applyFont="1" applyFill="1" applyBorder="1">
      <alignment vertical="center"/>
    </xf>
    <xf numFmtId="0" fontId="13" fillId="2" borderId="21" xfId="0" applyFont="1" applyFill="1" applyBorder="1" applyAlignment="1">
      <alignment vertical="center" wrapText="1"/>
    </xf>
    <xf numFmtId="0" fontId="13" fillId="2" borderId="0" xfId="0" applyFont="1" applyFill="1" applyAlignment="1">
      <alignment vertical="center" wrapText="1"/>
    </xf>
    <xf numFmtId="0" fontId="13" fillId="2" borderId="71" xfId="0" applyFont="1" applyFill="1" applyBorder="1">
      <alignment vertical="center"/>
    </xf>
    <xf numFmtId="0" fontId="30" fillId="2" borderId="169" xfId="0" applyFont="1" applyFill="1" applyBorder="1" applyAlignment="1">
      <alignment vertical="center" wrapText="1"/>
    </xf>
    <xf numFmtId="0" fontId="13" fillId="2" borderId="13" xfId="0" applyFont="1" applyFill="1" applyBorder="1">
      <alignment vertical="center"/>
    </xf>
    <xf numFmtId="0" fontId="13" fillId="2" borderId="89" xfId="0" applyFont="1" applyFill="1" applyBorder="1">
      <alignment vertical="center"/>
    </xf>
    <xf numFmtId="0" fontId="13" fillId="2" borderId="119" xfId="0" applyFont="1" applyFill="1" applyBorder="1" applyAlignment="1">
      <alignment horizontal="center" vertical="center"/>
    </xf>
    <xf numFmtId="0" fontId="13" fillId="2" borderId="118" xfId="0" applyFont="1" applyFill="1" applyBorder="1" applyAlignment="1">
      <alignment horizontal="center" vertical="center"/>
    </xf>
    <xf numFmtId="0" fontId="13" fillId="2" borderId="120" xfId="0" applyFont="1" applyFill="1" applyBorder="1" applyAlignment="1">
      <alignment horizontal="center" vertical="center"/>
    </xf>
    <xf numFmtId="0" fontId="35" fillId="2" borderId="0" xfId="0" applyFont="1" applyFill="1">
      <alignment vertical="center"/>
    </xf>
    <xf numFmtId="0" fontId="18" fillId="2" borderId="0" xfId="0" applyFont="1" applyFill="1" applyAlignment="1">
      <alignment horizontal="center" vertical="center" shrinkToFit="1"/>
    </xf>
    <xf numFmtId="0" fontId="13" fillId="2" borderId="152" xfId="0" applyFont="1" applyFill="1" applyBorder="1" applyAlignment="1">
      <alignment vertical="center" shrinkToFit="1"/>
    </xf>
    <xf numFmtId="0" fontId="13" fillId="2" borderId="475" xfId="0" applyFont="1" applyFill="1" applyBorder="1" applyAlignment="1">
      <alignment vertical="center" shrinkToFit="1"/>
    </xf>
    <xf numFmtId="0" fontId="13" fillId="2" borderId="89" xfId="0" applyFont="1" applyFill="1" applyBorder="1" applyAlignment="1">
      <alignment vertical="center" shrinkToFit="1"/>
    </xf>
    <xf numFmtId="0" fontId="13" fillId="2" borderId="170" xfId="0" applyFont="1" applyFill="1" applyBorder="1" applyAlignment="1">
      <alignment vertical="center" shrinkToFit="1"/>
    </xf>
    <xf numFmtId="0" fontId="13" fillId="2" borderId="167" xfId="0" applyFont="1" applyFill="1" applyBorder="1" applyAlignment="1">
      <alignment vertical="center" shrinkToFit="1"/>
    </xf>
    <xf numFmtId="0" fontId="13" fillId="2" borderId="168" xfId="0" applyFont="1" applyFill="1" applyBorder="1" applyAlignment="1">
      <alignment vertical="center" shrinkToFit="1"/>
    </xf>
    <xf numFmtId="0" fontId="34" fillId="2" borderId="0" xfId="0" applyFont="1" applyFill="1">
      <alignment vertical="center"/>
    </xf>
    <xf numFmtId="0" fontId="13" fillId="2" borderId="21" xfId="0" applyFont="1" applyFill="1" applyBorder="1" applyAlignment="1">
      <alignment horizontal="left" vertical="center"/>
    </xf>
    <xf numFmtId="0" fontId="33" fillId="2" borderId="0" xfId="0" applyFont="1" applyFill="1">
      <alignment vertical="center"/>
    </xf>
    <xf numFmtId="0" fontId="39" fillId="2" borderId="0" xfId="0" applyFont="1" applyFill="1">
      <alignment vertical="center"/>
    </xf>
    <xf numFmtId="0" fontId="4" fillId="2" borderId="0" xfId="3" applyFont="1" applyFill="1" applyAlignment="1">
      <alignment horizontal="center" vertical="center"/>
    </xf>
    <xf numFmtId="0" fontId="41" fillId="2" borderId="0" xfId="3" applyFont="1" applyFill="1" applyAlignment="1">
      <alignment horizontal="center" vertical="center" shrinkToFit="1"/>
    </xf>
    <xf numFmtId="0" fontId="17" fillId="3" borderId="233" xfId="3" applyFont="1" applyFill="1" applyBorder="1" applyAlignment="1">
      <alignment horizontal="center" vertical="center" shrinkToFit="1"/>
    </xf>
    <xf numFmtId="0" fontId="17" fillId="3" borderId="234" xfId="3" applyFont="1" applyFill="1" applyBorder="1" applyAlignment="1">
      <alignment horizontal="center" vertical="center" shrinkToFit="1"/>
    </xf>
    <xf numFmtId="0" fontId="13" fillId="3" borderId="344" xfId="3" applyFont="1" applyFill="1" applyBorder="1" applyAlignment="1">
      <alignment horizontal="center" vertical="center" shrinkToFit="1"/>
    </xf>
    <xf numFmtId="0" fontId="13" fillId="3" borderId="64" xfId="3" applyFont="1" applyFill="1" applyBorder="1" applyAlignment="1">
      <alignment horizontal="right" vertical="center" shrinkToFit="1"/>
    </xf>
    <xf numFmtId="0" fontId="13" fillId="3" borderId="252" xfId="3" applyFont="1" applyFill="1" applyBorder="1" applyAlignment="1">
      <alignment horizontal="center" vertical="center" shrinkToFit="1"/>
    </xf>
    <xf numFmtId="0" fontId="13" fillId="3" borderId="254" xfId="3" applyFont="1" applyFill="1" applyBorder="1" applyAlignment="1">
      <alignment horizontal="center" vertical="center" shrinkToFit="1"/>
    </xf>
    <xf numFmtId="0" fontId="13" fillId="6" borderId="293" xfId="3" applyFont="1" applyFill="1" applyBorder="1" applyAlignment="1" applyProtection="1">
      <alignment horizontal="center" vertical="center" shrinkToFit="1"/>
      <protection locked="0"/>
    </xf>
    <xf numFmtId="0" fontId="13" fillId="6" borderId="295" xfId="3" applyFont="1" applyFill="1" applyBorder="1" applyAlignment="1" applyProtection="1">
      <alignment horizontal="center" vertical="center" shrinkToFit="1"/>
      <protection locked="0"/>
    </xf>
    <xf numFmtId="0" fontId="13" fillId="6" borderId="299" xfId="3" applyFont="1" applyFill="1" applyBorder="1" applyAlignment="1" applyProtection="1">
      <alignment horizontal="center" vertical="center" shrinkToFit="1"/>
      <protection locked="0"/>
    </xf>
    <xf numFmtId="0" fontId="30" fillId="0" borderId="46" xfId="0" applyFont="1" applyBorder="1" applyAlignment="1">
      <alignment vertical="center" shrinkToFit="1"/>
    </xf>
    <xf numFmtId="0" fontId="30" fillId="0" borderId="7" xfId="0" applyFont="1" applyBorder="1" applyAlignment="1">
      <alignment vertical="center" shrinkToFit="1"/>
    </xf>
    <xf numFmtId="0" fontId="30" fillId="0" borderId="74" xfId="0" applyFont="1" applyBorder="1" applyAlignment="1">
      <alignment vertical="center" shrinkToFit="1"/>
    </xf>
    <xf numFmtId="0" fontId="30" fillId="0" borderId="53" xfId="0" applyFont="1" applyBorder="1" applyAlignment="1">
      <alignment vertical="center" shrinkToFit="1"/>
    </xf>
    <xf numFmtId="0" fontId="30" fillId="0" borderId="476" xfId="0" applyFont="1" applyBorder="1" applyAlignment="1">
      <alignment horizontal="center" vertical="center" shrinkToFit="1"/>
    </xf>
    <xf numFmtId="0" fontId="30" fillId="0" borderId="27" xfId="0" applyFont="1" applyBorder="1" applyAlignment="1">
      <alignment vertical="center" shrinkToFit="1"/>
    </xf>
    <xf numFmtId="0" fontId="30" fillId="0" borderId="335" xfId="0" applyFont="1" applyBorder="1" applyAlignment="1">
      <alignment vertical="center" shrinkToFit="1"/>
    </xf>
    <xf numFmtId="0" fontId="30" fillId="0" borderId="36" xfId="0" applyFont="1" applyBorder="1">
      <alignment vertical="center"/>
    </xf>
    <xf numFmtId="0" fontId="13" fillId="3" borderId="339" xfId="1" applyFont="1" applyFill="1" applyBorder="1" applyAlignment="1">
      <alignment horizontal="center" vertical="center" wrapText="1" shrinkToFit="1"/>
    </xf>
    <xf numFmtId="0" fontId="13" fillId="3" borderId="242" xfId="1" applyFont="1" applyFill="1" applyBorder="1" applyAlignment="1">
      <alignment horizontal="center" vertical="center" wrapText="1" shrinkToFit="1"/>
    </xf>
    <xf numFmtId="0" fontId="13" fillId="3" borderId="243" xfId="1" applyFont="1" applyFill="1" applyBorder="1" applyAlignment="1">
      <alignment horizontal="center" vertical="center" wrapText="1" shrinkToFit="1"/>
    </xf>
    <xf numFmtId="0" fontId="13" fillId="2" borderId="340" xfId="1" applyFont="1" applyFill="1" applyBorder="1" applyAlignment="1">
      <alignment horizontal="center" vertical="center" shrinkToFit="1"/>
    </xf>
    <xf numFmtId="0" fontId="13" fillId="2" borderId="236" xfId="1" applyFont="1" applyFill="1" applyBorder="1" applyAlignment="1">
      <alignment horizontal="center" vertical="center" shrinkToFit="1"/>
    </xf>
    <xf numFmtId="0" fontId="13" fillId="2" borderId="167" xfId="1" applyFont="1" applyFill="1" applyBorder="1" applyAlignment="1">
      <alignment horizontal="center" vertical="center" shrinkToFit="1"/>
    </xf>
    <xf numFmtId="0" fontId="52" fillId="2" borderId="12" xfId="0" applyFont="1" applyFill="1" applyBorder="1" applyAlignment="1">
      <alignment horizontal="center" vertical="center" shrinkToFit="1"/>
    </xf>
    <xf numFmtId="0" fontId="52" fillId="2" borderId="357" xfId="0" applyFont="1" applyFill="1" applyBorder="1" applyAlignment="1">
      <alignment horizontal="center" vertical="center" shrinkToFit="1"/>
    </xf>
    <xf numFmtId="0" fontId="52" fillId="2" borderId="89" xfId="0" applyFont="1" applyFill="1" applyBorder="1" applyAlignment="1">
      <alignment horizontal="center" vertical="center" shrinkToFit="1"/>
    </xf>
    <xf numFmtId="0" fontId="52" fillId="2" borderId="16" xfId="0" applyFont="1" applyFill="1" applyBorder="1" applyAlignment="1">
      <alignment horizontal="center" vertical="center" shrinkToFit="1"/>
    </xf>
    <xf numFmtId="211" fontId="13" fillId="2" borderId="5" xfId="1" applyNumberFormat="1" applyFont="1" applyFill="1" applyBorder="1" applyAlignment="1">
      <alignment horizontal="right" vertical="center" shrinkToFit="1"/>
    </xf>
    <xf numFmtId="0" fontId="30" fillId="2" borderId="3" xfId="0" applyFont="1" applyFill="1" applyBorder="1" applyAlignment="1">
      <alignment horizontal="center" vertical="center"/>
    </xf>
    <xf numFmtId="176" fontId="13" fillId="2" borderId="3" xfId="1" applyNumberFormat="1" applyFont="1" applyFill="1" applyBorder="1" applyAlignment="1">
      <alignment horizontal="center" vertical="center" shrinkToFit="1"/>
    </xf>
    <xf numFmtId="211" fontId="30" fillId="2" borderId="75" xfId="0" applyNumberFormat="1" applyFont="1" applyFill="1" applyBorder="1" applyAlignment="1">
      <alignment vertical="center" shrinkToFit="1"/>
    </xf>
    <xf numFmtId="211" fontId="30" fillId="2" borderId="3" xfId="0" applyNumberFormat="1" applyFont="1" applyFill="1" applyBorder="1" applyAlignment="1">
      <alignment horizontal="right" vertical="center" shrinkToFit="1"/>
    </xf>
    <xf numFmtId="176" fontId="13" fillId="2" borderId="4" xfId="1" applyNumberFormat="1" applyFont="1" applyFill="1" applyBorder="1" applyAlignment="1">
      <alignment horizontal="center" vertical="center" shrinkToFit="1"/>
    </xf>
    <xf numFmtId="211" fontId="30" fillId="2" borderId="186" xfId="0" applyNumberFormat="1" applyFont="1" applyFill="1" applyBorder="1" applyAlignment="1">
      <alignment vertical="center" shrinkToFit="1"/>
    </xf>
    <xf numFmtId="211" fontId="30" fillId="2" borderId="4" xfId="0" applyNumberFormat="1" applyFont="1" applyFill="1" applyBorder="1" applyAlignment="1">
      <alignment horizontal="right" vertical="center" shrinkToFit="1"/>
    </xf>
    <xf numFmtId="0" fontId="63" fillId="3" borderId="122" xfId="0" applyFont="1" applyFill="1" applyBorder="1" applyAlignment="1">
      <alignment horizontal="center" vertical="center" shrinkToFit="1"/>
    </xf>
    <xf numFmtId="0" fontId="26" fillId="0" borderId="421" xfId="0" applyFont="1" applyBorder="1" applyAlignment="1">
      <alignment vertical="center" shrinkToFit="1"/>
    </xf>
    <xf numFmtId="0" fontId="30" fillId="0" borderId="51" xfId="0" applyFont="1" applyBorder="1">
      <alignment vertical="center"/>
    </xf>
    <xf numFmtId="0" fontId="45" fillId="2" borderId="386" xfId="0" applyFont="1" applyFill="1" applyBorder="1">
      <alignment vertical="center"/>
    </xf>
    <xf numFmtId="0" fontId="45" fillId="2" borderId="462" xfId="0" applyFont="1" applyFill="1" applyBorder="1">
      <alignment vertical="center"/>
    </xf>
    <xf numFmtId="2" fontId="58" fillId="2" borderId="336" xfId="3" applyNumberFormat="1" applyFont="1" applyFill="1" applyBorder="1" applyAlignment="1">
      <alignment vertical="center"/>
    </xf>
    <xf numFmtId="0" fontId="45" fillId="2" borderId="388" xfId="0" applyFont="1" applyFill="1" applyBorder="1">
      <alignment vertical="center"/>
    </xf>
    <xf numFmtId="0" fontId="45" fillId="2" borderId="323" xfId="0" applyFont="1" applyFill="1" applyBorder="1">
      <alignment vertical="center"/>
    </xf>
    <xf numFmtId="2" fontId="58" fillId="2" borderId="320" xfId="3" applyNumberFormat="1" applyFont="1" applyFill="1" applyBorder="1" applyAlignment="1">
      <alignment vertical="center"/>
    </xf>
    <xf numFmtId="2" fontId="30" fillId="2" borderId="461" xfId="0" applyNumberFormat="1" applyFont="1" applyFill="1" applyBorder="1" applyAlignment="1">
      <alignment horizontal="center" vertical="center"/>
    </xf>
    <xf numFmtId="2" fontId="30" fillId="2" borderId="238" xfId="0" applyNumberFormat="1" applyFont="1" applyFill="1" applyBorder="1" applyAlignment="1">
      <alignment horizontal="center" vertical="center"/>
    </xf>
    <xf numFmtId="2" fontId="30" fillId="2" borderId="109" xfId="0" applyNumberFormat="1" applyFont="1" applyFill="1" applyBorder="1" applyAlignment="1">
      <alignment horizontal="center" vertical="center"/>
    </xf>
    <xf numFmtId="2" fontId="30" fillId="16" borderId="274" xfId="0" applyNumberFormat="1" applyFont="1" applyFill="1" applyBorder="1" applyAlignment="1">
      <alignment horizontal="center" vertical="center"/>
    </xf>
    <xf numFmtId="0" fontId="30" fillId="2" borderId="248" xfId="0" applyFont="1" applyFill="1" applyBorder="1" applyAlignment="1">
      <alignment horizontal="center" vertical="center" shrinkToFit="1"/>
    </xf>
    <xf numFmtId="0" fontId="30" fillId="2" borderId="213" xfId="0" applyFont="1" applyFill="1" applyBorder="1" applyAlignment="1">
      <alignment horizontal="center" vertical="center" shrinkToFit="1"/>
    </xf>
    <xf numFmtId="0" fontId="30" fillId="2" borderId="464" xfId="0" applyFont="1" applyFill="1" applyBorder="1" applyAlignment="1">
      <alignment horizontal="center" vertical="center" shrinkToFit="1"/>
    </xf>
    <xf numFmtId="0" fontId="30" fillId="2" borderId="265" xfId="0" applyFont="1" applyFill="1" applyBorder="1" applyAlignment="1">
      <alignment horizontal="center" vertical="center" shrinkToFit="1"/>
    </xf>
    <xf numFmtId="0" fontId="52" fillId="2" borderId="267" xfId="0" applyFont="1" applyFill="1" applyBorder="1" applyAlignment="1">
      <alignment horizontal="center" vertical="center" shrinkToFit="1"/>
    </xf>
    <xf numFmtId="2" fontId="30" fillId="2" borderId="213" xfId="0" applyNumberFormat="1" applyFont="1" applyFill="1" applyBorder="1" applyAlignment="1">
      <alignment horizontal="center" vertical="center" shrinkToFit="1"/>
    </xf>
    <xf numFmtId="0" fontId="30" fillId="2" borderId="0" xfId="0" applyFont="1" applyFill="1" applyAlignment="1">
      <alignment horizontal="center" vertical="center" shrinkToFit="1"/>
    </xf>
    <xf numFmtId="177" fontId="52" fillId="0" borderId="0" xfId="0" applyNumberFormat="1" applyFont="1" applyAlignment="1">
      <alignment horizontal="center" vertical="center"/>
    </xf>
    <xf numFmtId="2" fontId="30" fillId="2" borderId="397" xfId="0" applyNumberFormat="1" applyFont="1" applyFill="1" applyBorder="1" applyAlignment="1">
      <alignment horizontal="center" vertical="center" shrinkToFit="1"/>
    </xf>
    <xf numFmtId="0" fontId="52" fillId="2" borderId="270" xfId="0" applyFont="1" applyFill="1" applyBorder="1" applyAlignment="1">
      <alignment horizontal="center" vertical="center" shrinkToFit="1"/>
    </xf>
    <xf numFmtId="184" fontId="52" fillId="0" borderId="0" xfId="0" applyNumberFormat="1" applyFont="1" applyAlignment="1">
      <alignment horizontal="center" vertical="center"/>
    </xf>
    <xf numFmtId="2" fontId="30" fillId="2" borderId="32" xfId="0" applyNumberFormat="1" applyFont="1" applyFill="1" applyBorder="1" applyAlignment="1">
      <alignment horizontal="center" vertical="center" shrinkToFit="1"/>
    </xf>
    <xf numFmtId="0" fontId="30" fillId="2" borderId="72" xfId="0" applyFont="1" applyFill="1" applyBorder="1" applyAlignment="1">
      <alignment horizontal="center" vertical="center" shrinkToFit="1"/>
    </xf>
    <xf numFmtId="0" fontId="30" fillId="2" borderId="64" xfId="0" applyFont="1" applyFill="1" applyBorder="1">
      <alignment vertical="center"/>
    </xf>
    <xf numFmtId="0" fontId="30" fillId="2" borderId="65" xfId="0" applyFont="1" applyFill="1" applyBorder="1">
      <alignment vertical="center"/>
    </xf>
    <xf numFmtId="182" fontId="30" fillId="2" borderId="65" xfId="0" applyNumberFormat="1" applyFont="1" applyFill="1" applyBorder="1">
      <alignment vertical="center"/>
    </xf>
    <xf numFmtId="0" fontId="30" fillId="2" borderId="321" xfId="0" applyFont="1" applyFill="1" applyBorder="1">
      <alignment vertical="center"/>
    </xf>
    <xf numFmtId="0" fontId="30" fillId="2" borderId="390" xfId="0" applyFont="1" applyFill="1" applyBorder="1">
      <alignment vertical="center"/>
    </xf>
    <xf numFmtId="182" fontId="30" fillId="2" borderId="390" xfId="0" applyNumberFormat="1" applyFont="1" applyFill="1" applyBorder="1">
      <alignment vertical="center"/>
    </xf>
    <xf numFmtId="0" fontId="30" fillId="2" borderId="420" xfId="0" applyFont="1" applyFill="1" applyBorder="1" applyAlignment="1">
      <alignment horizontal="center" vertical="center" shrinkToFit="1"/>
    </xf>
    <xf numFmtId="0" fontId="30" fillId="2" borderId="489" xfId="0" applyFont="1" applyFill="1" applyBorder="1" applyAlignment="1">
      <alignment horizontal="center" vertical="center" shrinkToFit="1"/>
    </xf>
    <xf numFmtId="2" fontId="30" fillId="2" borderId="72" xfId="0" applyNumberFormat="1" applyFont="1" applyFill="1" applyBorder="1" applyAlignment="1">
      <alignment horizontal="center" vertical="center" shrinkToFit="1"/>
    </xf>
    <xf numFmtId="0" fontId="30" fillId="2" borderId="111" xfId="0" applyFont="1" applyFill="1" applyBorder="1" applyAlignment="1">
      <alignment horizontal="center" vertical="center" shrinkToFit="1"/>
    </xf>
    <xf numFmtId="0" fontId="52" fillId="2" borderId="115" xfId="0" applyFont="1" applyFill="1" applyBorder="1" applyAlignment="1">
      <alignment horizontal="center" vertical="center" shrinkToFit="1"/>
    </xf>
    <xf numFmtId="0" fontId="52" fillId="2" borderId="212" xfId="0" applyFont="1" applyFill="1" applyBorder="1" applyAlignment="1">
      <alignment horizontal="center" vertical="center" shrinkToFit="1"/>
    </xf>
    <xf numFmtId="212" fontId="13" fillId="2" borderId="4" xfId="1" applyNumberFormat="1" applyFont="1" applyFill="1" applyBorder="1" applyAlignment="1">
      <alignment horizontal="right" vertical="center" shrinkToFit="1"/>
    </xf>
    <xf numFmtId="0" fontId="46" fillId="2" borderId="0" xfId="0" applyFont="1" applyFill="1" applyAlignment="1">
      <alignment horizontal="center" vertical="center" shrinkToFit="1"/>
    </xf>
    <xf numFmtId="2" fontId="13" fillId="2" borderId="167" xfId="1" applyNumberFormat="1" applyFont="1" applyFill="1" applyBorder="1" applyAlignment="1">
      <alignment horizontal="right" vertical="center" shrinkToFit="1"/>
    </xf>
    <xf numFmtId="0" fontId="13" fillId="2" borderId="371" xfId="1" applyFont="1" applyFill="1" applyBorder="1" applyAlignment="1">
      <alignment horizontal="center" vertical="center" shrinkToFit="1"/>
    </xf>
    <xf numFmtId="214" fontId="13" fillId="2" borderId="152" xfId="1" applyNumberFormat="1" applyFont="1" applyFill="1" applyBorder="1" applyAlignment="1">
      <alignment horizontal="center" vertical="center" shrinkToFit="1"/>
    </xf>
    <xf numFmtId="2" fontId="13" fillId="2" borderId="152" xfId="1" applyNumberFormat="1" applyFont="1" applyFill="1" applyBorder="1" applyAlignment="1">
      <alignment horizontal="right" vertical="center" shrinkToFit="1"/>
    </xf>
    <xf numFmtId="2" fontId="13" fillId="2" borderId="152" xfId="4" applyNumberFormat="1" applyFont="1" applyFill="1" applyBorder="1" applyAlignment="1" applyProtection="1">
      <alignment horizontal="right" vertical="center" shrinkToFit="1"/>
    </xf>
    <xf numFmtId="0" fontId="30" fillId="0" borderId="17" xfId="0" applyFont="1" applyBorder="1" applyAlignment="1">
      <alignment horizontal="center" vertical="center" shrinkToFit="1"/>
    </xf>
    <xf numFmtId="0" fontId="13" fillId="0" borderId="63" xfId="0" applyFont="1" applyBorder="1" applyAlignment="1">
      <alignment horizontal="center" vertical="center"/>
    </xf>
    <xf numFmtId="0" fontId="30" fillId="0" borderId="74" xfId="0" applyFont="1" applyBorder="1">
      <alignment vertical="center"/>
    </xf>
    <xf numFmtId="0" fontId="30" fillId="0" borderId="23" xfId="0" applyFont="1" applyBorder="1" applyAlignment="1">
      <alignment horizontal="center" vertical="center" shrinkToFit="1"/>
    </xf>
    <xf numFmtId="0" fontId="30" fillId="0" borderId="335" xfId="0" applyFont="1" applyBorder="1" applyAlignment="1">
      <alignment horizontal="center" vertical="center" shrinkToFit="1"/>
    </xf>
    <xf numFmtId="0" fontId="30" fillId="0" borderId="313" xfId="0" applyFont="1" applyBorder="1" applyAlignment="1">
      <alignment horizontal="center" vertical="center" shrinkToFit="1"/>
    </xf>
    <xf numFmtId="0" fontId="30" fillId="0" borderId="328" xfId="0" applyFont="1" applyBorder="1" applyAlignment="1">
      <alignment horizontal="center" vertical="center" shrinkToFit="1"/>
    </xf>
    <xf numFmtId="0" fontId="30" fillId="0" borderId="48" xfId="0" applyFont="1" applyBorder="1" applyAlignment="1">
      <alignment horizontal="center" vertical="center" shrinkToFit="1"/>
    </xf>
    <xf numFmtId="0" fontId="26" fillId="0" borderId="305" xfId="0" applyFont="1" applyBorder="1" applyAlignment="1">
      <alignment horizontal="center" vertical="center" shrinkToFit="1"/>
    </xf>
    <xf numFmtId="2" fontId="30" fillId="2" borderId="376" xfId="0" applyNumberFormat="1" applyFont="1" applyFill="1" applyBorder="1" applyAlignment="1">
      <alignment horizontal="center" vertical="center" shrinkToFit="1"/>
    </xf>
    <xf numFmtId="2" fontId="30" fillId="2" borderId="413" xfId="0" applyNumberFormat="1" applyFont="1" applyFill="1" applyBorder="1" applyAlignment="1">
      <alignment horizontal="center" vertical="center" shrinkToFit="1"/>
    </xf>
    <xf numFmtId="2" fontId="30" fillId="2" borderId="383" xfId="0" applyNumberFormat="1" applyFont="1" applyFill="1" applyBorder="1" applyAlignment="1">
      <alignment horizontal="center" vertical="center" shrinkToFit="1"/>
    </xf>
    <xf numFmtId="0" fontId="13" fillId="0" borderId="31" xfId="0" applyFont="1" applyBorder="1" applyAlignment="1">
      <alignment horizontal="center" vertical="center"/>
    </xf>
    <xf numFmtId="2" fontId="30" fillId="2" borderId="375" xfId="0" applyNumberFormat="1" applyFont="1" applyFill="1" applyBorder="1" applyAlignment="1">
      <alignment horizontal="center" vertical="center" shrinkToFit="1"/>
    </xf>
    <xf numFmtId="38" fontId="26" fillId="0" borderId="18" xfId="0" applyNumberFormat="1" applyFont="1" applyBorder="1" applyAlignment="1">
      <alignment horizontal="center" vertical="center" shrinkToFit="1"/>
    </xf>
    <xf numFmtId="0" fontId="30" fillId="2" borderId="91" xfId="0" applyFont="1" applyFill="1" applyBorder="1" applyAlignment="1">
      <alignment horizontal="center" vertical="center" shrinkToFit="1"/>
    </xf>
    <xf numFmtId="0" fontId="30" fillId="2" borderId="431" xfId="0" applyFont="1" applyFill="1" applyBorder="1" applyAlignment="1">
      <alignment horizontal="center" vertical="center" shrinkToFit="1"/>
    </xf>
    <xf numFmtId="2" fontId="30" fillId="2" borderId="91" xfId="0" applyNumberFormat="1" applyFont="1" applyFill="1" applyBorder="1" applyAlignment="1">
      <alignment horizontal="center" vertical="center" shrinkToFit="1"/>
    </xf>
    <xf numFmtId="0" fontId="30" fillId="2" borderId="495" xfId="0" applyFont="1" applyFill="1" applyBorder="1" applyAlignment="1">
      <alignment horizontal="center" vertical="center" shrinkToFit="1"/>
    </xf>
    <xf numFmtId="0" fontId="26" fillId="0" borderId="364" xfId="0" applyFont="1" applyBorder="1" applyAlignment="1">
      <alignment vertical="center" shrinkToFit="1"/>
    </xf>
    <xf numFmtId="0" fontId="10" fillId="0" borderId="10" xfId="0" applyFont="1" applyBorder="1" applyAlignment="1">
      <alignment horizontal="center" vertical="center"/>
    </xf>
    <xf numFmtId="2" fontId="30" fillId="2" borderId="499" xfId="0" applyNumberFormat="1" applyFont="1" applyFill="1" applyBorder="1" applyAlignment="1">
      <alignment horizontal="center" vertical="center" shrinkToFit="1"/>
    </xf>
    <xf numFmtId="2" fontId="30" fillId="2" borderId="117" xfId="0" applyNumberFormat="1" applyFont="1" applyFill="1" applyBorder="1" applyAlignment="1">
      <alignment horizontal="center" vertical="center" shrinkToFit="1"/>
    </xf>
    <xf numFmtId="0" fontId="30" fillId="0" borderId="34" xfId="0" applyFont="1" applyBorder="1">
      <alignment vertical="center"/>
    </xf>
    <xf numFmtId="0" fontId="30" fillId="0" borderId="56" xfId="0" applyFont="1" applyBorder="1">
      <alignment vertical="center"/>
    </xf>
    <xf numFmtId="0" fontId="13" fillId="0" borderId="329" xfId="0" applyFont="1" applyBorder="1">
      <alignment vertical="center"/>
    </xf>
    <xf numFmtId="0" fontId="13" fillId="0" borderId="9" xfId="0" applyFont="1" applyBorder="1">
      <alignment vertical="center"/>
    </xf>
    <xf numFmtId="2" fontId="0" fillId="0" borderId="4" xfId="0" applyNumberFormat="1" applyBorder="1" applyAlignment="1">
      <alignment horizontal="center" vertical="center"/>
    </xf>
    <xf numFmtId="2" fontId="0" fillId="0" borderId="6" xfId="0" applyNumberFormat="1" applyBorder="1" applyAlignment="1">
      <alignment horizontal="center" vertical="center"/>
    </xf>
    <xf numFmtId="2" fontId="0" fillId="0" borderId="24" xfId="0" applyNumberFormat="1" applyBorder="1">
      <alignment vertical="center"/>
    </xf>
    <xf numFmtId="0" fontId="17" fillId="2" borderId="40" xfId="0" applyFont="1" applyFill="1" applyBorder="1">
      <alignment vertical="center"/>
    </xf>
    <xf numFmtId="0" fontId="13" fillId="2" borderId="41" xfId="0" applyFont="1" applyFill="1" applyBorder="1">
      <alignment vertical="center"/>
    </xf>
    <xf numFmtId="0" fontId="17" fillId="2" borderId="41" xfId="0" applyFont="1" applyFill="1" applyBorder="1">
      <alignment vertical="center"/>
    </xf>
    <xf numFmtId="0" fontId="13" fillId="2" borderId="10" xfId="0" applyFont="1" applyFill="1" applyBorder="1">
      <alignment vertical="center"/>
    </xf>
    <xf numFmtId="0" fontId="13" fillId="0" borderId="17" xfId="3" applyFont="1" applyBorder="1" applyAlignment="1">
      <alignment horizontal="center" shrinkToFit="1"/>
    </xf>
    <xf numFmtId="0" fontId="30" fillId="0" borderId="4" xfId="9" applyFont="1" applyBorder="1">
      <alignment vertical="center"/>
    </xf>
    <xf numFmtId="0" fontId="13" fillId="0" borderId="507" xfId="3" applyFont="1" applyBorder="1" applyAlignment="1">
      <alignment shrinkToFit="1"/>
    </xf>
    <xf numFmtId="0" fontId="13" fillId="0" borderId="0" xfId="3" applyFont="1" applyAlignment="1">
      <alignment horizontal="center" shrinkToFit="1"/>
    </xf>
    <xf numFmtId="0" fontId="13" fillId="2" borderId="64" xfId="3" applyFont="1" applyFill="1" applyBorder="1" applyAlignment="1">
      <alignment horizontal="center" vertical="center" shrinkToFit="1"/>
    </xf>
    <xf numFmtId="198" fontId="13" fillId="6" borderId="259" xfId="3" applyNumberFormat="1" applyFont="1" applyFill="1" applyBorder="1" applyAlignment="1" applyProtection="1">
      <alignment horizontal="center" vertical="center" shrinkToFit="1"/>
      <protection locked="0"/>
    </xf>
    <xf numFmtId="198" fontId="13" fillId="6" borderId="156" xfId="3" applyNumberFormat="1" applyFont="1" applyFill="1" applyBorder="1" applyAlignment="1" applyProtection="1">
      <alignment horizontal="center" vertical="center" shrinkToFit="1"/>
      <protection locked="0"/>
    </xf>
    <xf numFmtId="198" fontId="13" fillId="6" borderId="157" xfId="3" applyNumberFormat="1" applyFont="1" applyFill="1" applyBorder="1" applyAlignment="1" applyProtection="1">
      <alignment horizontal="center" vertical="center" shrinkToFit="1"/>
      <protection locked="0"/>
    </xf>
    <xf numFmtId="204" fontId="13" fillId="0" borderId="512" xfId="2" applyNumberFormat="1" applyFont="1" applyFill="1" applyBorder="1" applyAlignment="1" applyProtection="1">
      <alignment horizontal="right" vertical="center" shrinkToFit="1"/>
    </xf>
    <xf numFmtId="0" fontId="13" fillId="3" borderId="196" xfId="3" applyFont="1" applyFill="1" applyBorder="1" applyAlignment="1">
      <alignment horizontal="center" vertical="center" shrinkToFit="1"/>
    </xf>
    <xf numFmtId="0" fontId="17" fillId="3" borderId="235" xfId="3" applyFont="1" applyFill="1" applyBorder="1" applyAlignment="1">
      <alignment horizontal="center" vertical="center" shrinkToFit="1"/>
    </xf>
    <xf numFmtId="0" fontId="57" fillId="2" borderId="186" xfId="3" applyFont="1" applyFill="1" applyBorder="1" applyAlignment="1">
      <alignment vertical="center" shrinkToFit="1"/>
    </xf>
    <xf numFmtId="0" fontId="65" fillId="2" borderId="186" xfId="3" applyFont="1" applyFill="1" applyBorder="1" applyAlignment="1">
      <alignment vertical="center" shrinkToFit="1"/>
    </xf>
    <xf numFmtId="0" fontId="57" fillId="2" borderId="6" xfId="3" applyFont="1" applyFill="1" applyBorder="1" applyAlignment="1">
      <alignment vertical="center" shrinkToFit="1"/>
    </xf>
    <xf numFmtId="0" fontId="65" fillId="3" borderId="513" xfId="3" applyFont="1" applyFill="1" applyBorder="1" applyAlignment="1">
      <alignment horizontal="center" vertical="center" shrinkToFit="1"/>
    </xf>
    <xf numFmtId="0" fontId="67" fillId="2" borderId="9" xfId="3" applyFont="1" applyFill="1" applyBorder="1" applyAlignment="1">
      <alignment vertical="center" shrinkToFit="1"/>
    </xf>
    <xf numFmtId="0" fontId="67" fillId="2" borderId="21" xfId="3" applyFont="1" applyFill="1" applyBorder="1" applyAlignment="1">
      <alignment vertical="center" shrinkToFit="1"/>
    </xf>
    <xf numFmtId="0" fontId="65" fillId="2" borderId="513" xfId="3" applyFont="1" applyFill="1" applyBorder="1" applyAlignment="1">
      <alignment horizontal="center" vertical="center" shrinkToFit="1"/>
    </xf>
    <xf numFmtId="0" fontId="45" fillId="0" borderId="187" xfId="0" applyFont="1" applyBorder="1">
      <alignment vertical="center"/>
    </xf>
    <xf numFmtId="0" fontId="13" fillId="0" borderId="4" xfId="0" applyFont="1" applyBorder="1" applyAlignment="1">
      <alignment horizontal="center" vertical="center" wrapText="1"/>
    </xf>
    <xf numFmtId="2" fontId="45" fillId="0" borderId="4" xfId="0" applyNumberFormat="1" applyFont="1" applyBorder="1">
      <alignment vertical="center"/>
    </xf>
    <xf numFmtId="0" fontId="75" fillId="0" borderId="4" xfId="0" applyFont="1" applyBorder="1" applyAlignment="1">
      <alignment horizontal="center" vertical="center"/>
    </xf>
    <xf numFmtId="0" fontId="13" fillId="3" borderId="109" xfId="3" applyFont="1" applyFill="1" applyBorder="1" applyAlignment="1">
      <alignment horizontal="center" vertical="center"/>
    </xf>
    <xf numFmtId="0" fontId="13" fillId="3" borderId="344" xfId="3" applyFont="1" applyFill="1" applyBorder="1" applyAlignment="1">
      <alignment horizontal="center" vertical="center"/>
    </xf>
    <xf numFmtId="0" fontId="58" fillId="2" borderId="390" xfId="3" applyFont="1" applyFill="1" applyBorder="1" applyAlignment="1">
      <alignment horizontal="right" vertical="center" shrinkToFit="1"/>
    </xf>
    <xf numFmtId="0" fontId="58" fillId="2" borderId="213" xfId="3" applyFont="1" applyFill="1" applyBorder="1" applyAlignment="1">
      <alignment horizontal="right" vertical="center" shrinkToFit="1"/>
    </xf>
    <xf numFmtId="0" fontId="58" fillId="2" borderId="383" xfId="3" applyFont="1" applyFill="1" applyBorder="1" applyAlignment="1">
      <alignment horizontal="right" vertical="center" shrinkToFit="1"/>
    </xf>
    <xf numFmtId="0" fontId="58" fillId="2" borderId="216" xfId="3" applyFont="1" applyFill="1" applyBorder="1" applyAlignment="1">
      <alignment horizontal="right" vertical="center" shrinkToFit="1"/>
    </xf>
    <xf numFmtId="0" fontId="45" fillId="2" borderId="410" xfId="0" applyFont="1" applyFill="1" applyBorder="1">
      <alignment vertical="center"/>
    </xf>
    <xf numFmtId="0" fontId="45" fillId="2" borderId="267" xfId="0" applyFont="1" applyFill="1" applyBorder="1">
      <alignment vertical="center"/>
    </xf>
    <xf numFmtId="0" fontId="45" fillId="2" borderId="402" xfId="0" applyFont="1" applyFill="1" applyBorder="1">
      <alignment vertical="center"/>
    </xf>
    <xf numFmtId="0" fontId="45" fillId="2" borderId="270" xfId="0" applyFont="1" applyFill="1" applyBorder="1">
      <alignment vertical="center"/>
    </xf>
    <xf numFmtId="0" fontId="30" fillId="2" borderId="83" xfId="0" applyFont="1" applyFill="1" applyBorder="1" applyAlignment="1">
      <alignment horizontal="center" vertical="center" shrinkToFit="1"/>
    </xf>
    <xf numFmtId="0" fontId="30" fillId="2" borderId="511" xfId="0" applyFont="1" applyFill="1" applyBorder="1" applyAlignment="1">
      <alignment horizontal="center" vertical="center" shrinkToFit="1"/>
    </xf>
    <xf numFmtId="0" fontId="13" fillId="2" borderId="511" xfId="0" applyFont="1" applyFill="1" applyBorder="1" applyAlignment="1">
      <alignment horizontal="center" vertical="center" shrinkToFit="1"/>
    </xf>
    <xf numFmtId="0" fontId="13" fillId="2" borderId="82" xfId="0" applyFont="1" applyFill="1" applyBorder="1" applyAlignment="1">
      <alignment horizontal="center" vertical="center" shrinkToFit="1"/>
    </xf>
    <xf numFmtId="211" fontId="13" fillId="4" borderId="508" xfId="1" applyNumberFormat="1" applyFont="1" applyFill="1" applyBorder="1" applyAlignment="1" applyProtection="1">
      <alignment horizontal="right" vertical="center" shrinkToFit="1"/>
      <protection locked="0"/>
    </xf>
    <xf numFmtId="211" fontId="13" fillId="4" borderId="509" xfId="1" applyNumberFormat="1" applyFont="1" applyFill="1" applyBorder="1" applyAlignment="1" applyProtection="1">
      <alignment horizontal="right" vertical="center" shrinkToFit="1"/>
      <protection locked="0"/>
    </xf>
    <xf numFmtId="211" fontId="13" fillId="2" borderId="509" xfId="1" applyNumberFormat="1" applyFont="1" applyFill="1" applyBorder="1" applyAlignment="1">
      <alignment horizontal="right" vertical="center" shrinkToFit="1"/>
    </xf>
    <xf numFmtId="211" fontId="13" fillId="2" borderId="510" xfId="1" applyNumberFormat="1" applyFont="1" applyFill="1" applyBorder="1" applyAlignment="1">
      <alignment horizontal="right" vertical="center" shrinkToFit="1"/>
    </xf>
    <xf numFmtId="211" fontId="13" fillId="4" borderId="131" xfId="1" applyNumberFormat="1" applyFont="1" applyFill="1" applyBorder="1" applyAlignment="1" applyProtection="1">
      <alignment horizontal="right" vertical="center" shrinkToFit="1"/>
      <protection locked="0"/>
    </xf>
    <xf numFmtId="211" fontId="13" fillId="4" borderId="261" xfId="1" applyNumberFormat="1" applyFont="1" applyFill="1" applyBorder="1" applyAlignment="1" applyProtection="1">
      <alignment horizontal="right" vertical="center" shrinkToFit="1"/>
      <protection locked="0"/>
    </xf>
    <xf numFmtId="211" fontId="13" fillId="2" borderId="261" xfId="1" applyNumberFormat="1" applyFont="1" applyFill="1" applyBorder="1" applyAlignment="1">
      <alignment horizontal="right" vertical="center" shrinkToFit="1"/>
    </xf>
    <xf numFmtId="211" fontId="13" fillId="2" borderId="133" xfId="1" applyNumberFormat="1" applyFont="1" applyFill="1" applyBorder="1" applyAlignment="1">
      <alignment horizontal="right" vertical="center" shrinkToFit="1"/>
    </xf>
    <xf numFmtId="211" fontId="13" fillId="2" borderId="83" xfId="1" applyNumberFormat="1" applyFont="1" applyFill="1" applyBorder="1" applyAlignment="1">
      <alignment horizontal="right" vertical="center" shrinkToFit="1"/>
    </xf>
    <xf numFmtId="211" fontId="13" fillId="2" borderId="511" xfId="1" applyNumberFormat="1" applyFont="1" applyFill="1" applyBorder="1" applyAlignment="1">
      <alignment horizontal="right" vertical="center" shrinkToFit="1"/>
    </xf>
    <xf numFmtId="211" fontId="13" fillId="2" borderId="82" xfId="1" applyNumberFormat="1" applyFont="1" applyFill="1" applyBorder="1" applyAlignment="1">
      <alignment horizontal="right" vertical="center" shrinkToFit="1"/>
    </xf>
    <xf numFmtId="211" fontId="13" fillId="4" borderId="398" xfId="1" applyNumberFormat="1" applyFont="1" applyFill="1" applyBorder="1" applyAlignment="1" applyProtection="1">
      <alignment horizontal="right" vertical="center" shrinkToFit="1"/>
      <protection locked="0"/>
    </xf>
    <xf numFmtId="211" fontId="13" fillId="4" borderId="466" xfId="1" applyNumberFormat="1" applyFont="1" applyFill="1" applyBorder="1" applyAlignment="1" applyProtection="1">
      <alignment horizontal="right" vertical="center" shrinkToFit="1"/>
      <protection locked="0"/>
    </xf>
    <xf numFmtId="211" fontId="13" fillId="2" borderId="466" xfId="1" applyNumberFormat="1" applyFont="1" applyFill="1" applyBorder="1" applyAlignment="1">
      <alignment horizontal="right" vertical="center" shrinkToFit="1"/>
    </xf>
    <xf numFmtId="211" fontId="13" fillId="4" borderId="401" xfId="1" applyNumberFormat="1" applyFont="1" applyFill="1" applyBorder="1" applyAlignment="1" applyProtection="1">
      <alignment horizontal="right" vertical="center" shrinkToFit="1"/>
      <protection locked="0"/>
    </xf>
    <xf numFmtId="211" fontId="13" fillId="4" borderId="412" xfId="1" applyNumberFormat="1" applyFont="1" applyFill="1" applyBorder="1" applyAlignment="1" applyProtection="1">
      <alignment horizontal="right" vertical="center" shrinkToFit="1"/>
      <protection locked="0"/>
    </xf>
    <xf numFmtId="211" fontId="13" fillId="2" borderId="412" xfId="1" applyNumberFormat="1" applyFont="1" applyFill="1" applyBorder="1" applyAlignment="1">
      <alignment horizontal="right" vertical="center" shrinkToFit="1"/>
    </xf>
    <xf numFmtId="211" fontId="13" fillId="4" borderId="262" xfId="1" applyNumberFormat="1" applyFont="1" applyFill="1" applyBorder="1" applyAlignment="1" applyProtection="1">
      <alignment horizontal="right" vertical="center" shrinkToFit="1"/>
      <protection locked="0"/>
    </xf>
    <xf numFmtId="211" fontId="13" fillId="4" borderId="263" xfId="1" applyNumberFormat="1" applyFont="1" applyFill="1" applyBorder="1" applyAlignment="1" applyProtection="1">
      <alignment horizontal="right" vertical="center" shrinkToFit="1"/>
      <protection locked="0"/>
    </xf>
    <xf numFmtId="211" fontId="13" fillId="2" borderId="263" xfId="1" applyNumberFormat="1" applyFont="1" applyFill="1" applyBorder="1" applyAlignment="1">
      <alignment horizontal="right" vertical="center" shrinkToFit="1"/>
    </xf>
    <xf numFmtId="211" fontId="13" fillId="2" borderId="398" xfId="1" applyNumberFormat="1" applyFont="1" applyFill="1" applyBorder="1" applyAlignment="1">
      <alignment horizontal="right" vertical="center" shrinkToFit="1"/>
    </xf>
    <xf numFmtId="211" fontId="13" fillId="4" borderId="410" xfId="1" applyNumberFormat="1" applyFont="1" applyFill="1" applyBorder="1" applyAlignment="1" applyProtection="1">
      <alignment horizontal="right" vertical="center" shrinkToFit="1"/>
      <protection locked="0"/>
    </xf>
    <xf numFmtId="211" fontId="13" fillId="2" borderId="268" xfId="1" applyNumberFormat="1" applyFont="1" applyFill="1" applyBorder="1" applyAlignment="1">
      <alignment horizontal="right" vertical="center" shrinkToFit="1"/>
    </xf>
    <xf numFmtId="211" fontId="13" fillId="2" borderId="269" xfId="1" applyNumberFormat="1" applyFont="1" applyFill="1" applyBorder="1" applyAlignment="1">
      <alignment horizontal="right" vertical="center" shrinkToFit="1"/>
    </xf>
    <xf numFmtId="211" fontId="13" fillId="4" borderId="269" xfId="1" applyNumberFormat="1" applyFont="1" applyFill="1" applyBorder="1" applyAlignment="1" applyProtection="1">
      <alignment horizontal="right" vertical="center" shrinkToFit="1"/>
      <protection locked="0"/>
    </xf>
    <xf numFmtId="211" fontId="13" fillId="4" borderId="270" xfId="1" applyNumberFormat="1" applyFont="1" applyFill="1" applyBorder="1" applyAlignment="1" applyProtection="1">
      <alignment horizontal="right" vertical="center" shrinkToFit="1"/>
      <protection locked="0"/>
    </xf>
    <xf numFmtId="211" fontId="13" fillId="2" borderId="262" xfId="1" applyNumberFormat="1" applyFont="1" applyFill="1" applyBorder="1" applyAlignment="1">
      <alignment horizontal="right" vertical="center" shrinkToFit="1"/>
    </xf>
    <xf numFmtId="211" fontId="13" fillId="4" borderId="264" xfId="1" applyNumberFormat="1" applyFont="1" applyFill="1" applyBorder="1" applyAlignment="1" applyProtection="1">
      <alignment horizontal="right" vertical="center" shrinkToFit="1"/>
      <protection locked="0"/>
    </xf>
    <xf numFmtId="211" fontId="13" fillId="2" borderId="405" xfId="1" applyNumberFormat="1" applyFont="1" applyFill="1" applyBorder="1" applyAlignment="1">
      <alignment horizontal="right" vertical="center" shrinkToFit="1"/>
    </xf>
    <xf numFmtId="211" fontId="13" fillId="2" borderId="514" xfId="1" applyNumberFormat="1" applyFont="1" applyFill="1" applyBorder="1" applyAlignment="1">
      <alignment horizontal="right" vertical="center" shrinkToFit="1"/>
    </xf>
    <xf numFmtId="211" fontId="13" fillId="2" borderId="406" xfId="1" applyNumberFormat="1" applyFont="1" applyFill="1" applyBorder="1" applyAlignment="1">
      <alignment horizontal="right" vertical="center" shrinkToFit="1"/>
    </xf>
    <xf numFmtId="211" fontId="13" fillId="2" borderId="131" xfId="1" applyNumberFormat="1" applyFont="1" applyFill="1" applyBorder="1" applyAlignment="1">
      <alignment horizontal="right" vertical="center" shrinkToFit="1"/>
    </xf>
    <xf numFmtId="0" fontId="30" fillId="3" borderId="515" xfId="0" applyFont="1" applyFill="1" applyBorder="1" applyAlignment="1">
      <alignment horizontal="center" vertical="center" shrinkToFit="1"/>
    </xf>
    <xf numFmtId="0" fontId="30" fillId="2" borderId="238" xfId="0" applyFont="1" applyFill="1" applyBorder="1" applyAlignment="1">
      <alignment horizontal="center" vertical="center" shrinkToFit="1"/>
    </xf>
    <xf numFmtId="0" fontId="30" fillId="2" borderId="462" xfId="0" applyFont="1" applyFill="1" applyBorder="1" applyAlignment="1">
      <alignment horizontal="center" vertical="center" shrinkToFit="1"/>
    </xf>
    <xf numFmtId="0" fontId="30" fillId="2" borderId="516" xfId="0" applyFont="1" applyFill="1" applyBorder="1" applyAlignment="1">
      <alignment horizontal="center" vertical="center" shrinkToFit="1"/>
    </xf>
    <xf numFmtId="0" fontId="30" fillId="2" borderId="156" xfId="0" applyFont="1" applyFill="1" applyBorder="1" applyAlignment="1">
      <alignment horizontal="center" vertical="center" shrinkToFit="1"/>
    </xf>
    <xf numFmtId="0" fontId="30" fillId="2" borderId="153" xfId="0" applyFont="1" applyFill="1" applyBorder="1" applyAlignment="1">
      <alignment horizontal="center" vertical="center" shrinkToFit="1"/>
    </xf>
    <xf numFmtId="0" fontId="30" fillId="2" borderId="461" xfId="0" applyFont="1" applyFill="1" applyBorder="1" applyAlignment="1">
      <alignment horizontal="center" vertical="center" shrinkToFit="1"/>
    </xf>
    <xf numFmtId="0" fontId="30" fillId="2" borderId="299" xfId="0" applyFont="1" applyFill="1" applyBorder="1" applyAlignment="1">
      <alignment horizontal="center" vertical="center" shrinkToFit="1"/>
    </xf>
    <xf numFmtId="0" fontId="30" fillId="2" borderId="295" xfId="0" applyFont="1" applyFill="1" applyBorder="1" applyAlignment="1">
      <alignment horizontal="center" vertical="center" shrinkToFit="1"/>
    </xf>
    <xf numFmtId="0" fontId="30" fillId="2" borderId="517" xfId="0" applyFont="1" applyFill="1" applyBorder="1" applyAlignment="1">
      <alignment horizontal="center" vertical="center" shrinkToFit="1"/>
    </xf>
    <xf numFmtId="0" fontId="30" fillId="2" borderId="459" xfId="0" applyFont="1" applyFill="1" applyBorder="1" applyAlignment="1">
      <alignment horizontal="center" vertical="center" shrinkToFit="1"/>
    </xf>
    <xf numFmtId="0" fontId="30" fillId="2" borderId="245" xfId="0" applyFont="1" applyFill="1" applyBorder="1" applyAlignment="1">
      <alignment horizontal="center" vertical="center" shrinkToFit="1"/>
    </xf>
    <xf numFmtId="0" fontId="30" fillId="2" borderId="453" xfId="0" applyFont="1" applyFill="1" applyBorder="1" applyAlignment="1">
      <alignment horizontal="center" vertical="center" shrinkToFit="1"/>
    </xf>
    <xf numFmtId="0" fontId="30" fillId="2" borderId="253" xfId="0" applyFont="1" applyFill="1" applyBorder="1" applyAlignment="1">
      <alignment horizontal="center" vertical="center" shrinkToFit="1"/>
    </xf>
    <xf numFmtId="0" fontId="30" fillId="2" borderId="242" xfId="0" applyFont="1" applyFill="1" applyBorder="1" applyAlignment="1">
      <alignment horizontal="center" vertical="center" shrinkToFit="1"/>
    </xf>
    <xf numFmtId="0" fontId="30" fillId="2" borderId="173" xfId="0" applyFont="1" applyFill="1" applyBorder="1" applyAlignment="1">
      <alignment horizontal="center" vertical="center" shrinkToFit="1"/>
    </xf>
    <xf numFmtId="0" fontId="30" fillId="2" borderId="247" xfId="0" applyFont="1" applyFill="1" applyBorder="1" applyAlignment="1">
      <alignment horizontal="center" vertical="center" shrinkToFit="1"/>
    </xf>
    <xf numFmtId="0" fontId="30" fillId="2" borderId="35" xfId="0" applyFont="1" applyFill="1" applyBorder="1" applyAlignment="1">
      <alignment horizontal="center" vertical="center" shrinkToFit="1"/>
    </xf>
    <xf numFmtId="2" fontId="52" fillId="2" borderId="390" xfId="0" applyNumberFormat="1" applyFont="1" applyFill="1" applyBorder="1" applyAlignment="1">
      <alignment horizontal="center" vertical="center" shrinkToFit="1"/>
    </xf>
    <xf numFmtId="0" fontId="30" fillId="2" borderId="518" xfId="0" applyFont="1" applyFill="1" applyBorder="1" applyAlignment="1">
      <alignment horizontal="center" vertical="center" shrinkToFit="1"/>
    </xf>
    <xf numFmtId="0" fontId="30" fillId="2" borderId="301" xfId="0" applyFont="1" applyFill="1" applyBorder="1" applyAlignment="1">
      <alignment horizontal="center" vertical="center" shrinkToFit="1"/>
    </xf>
    <xf numFmtId="0" fontId="30" fillId="2" borderId="297" xfId="0" applyFont="1" applyFill="1" applyBorder="1" applyAlignment="1">
      <alignment horizontal="center" vertical="center" shrinkToFit="1"/>
    </xf>
    <xf numFmtId="0" fontId="30" fillId="2" borderId="507" xfId="0" applyFont="1" applyFill="1" applyBorder="1" applyAlignment="1">
      <alignment horizontal="center" vertical="center" shrinkToFit="1"/>
    </xf>
    <xf numFmtId="0" fontId="30" fillId="2" borderId="286" xfId="0" applyFont="1" applyFill="1" applyBorder="1" applyAlignment="1">
      <alignment horizontal="center" vertical="center" shrinkToFit="1"/>
    </xf>
    <xf numFmtId="0" fontId="30" fillId="2" borderId="116" xfId="0" applyFont="1" applyFill="1" applyBorder="1" applyAlignment="1">
      <alignment horizontal="center" vertical="center" shrinkToFit="1"/>
    </xf>
    <xf numFmtId="0" fontId="30" fillId="2" borderId="61" xfId="0" applyFont="1" applyFill="1" applyBorder="1" applyAlignment="1">
      <alignment horizontal="center" vertical="center" shrinkToFit="1"/>
    </xf>
    <xf numFmtId="0" fontId="30" fillId="2" borderId="520" xfId="0" applyFont="1" applyFill="1" applyBorder="1" applyAlignment="1">
      <alignment horizontal="center" vertical="center" shrinkToFit="1"/>
    </xf>
    <xf numFmtId="0" fontId="30" fillId="2" borderId="521" xfId="0" applyFont="1" applyFill="1" applyBorder="1" applyAlignment="1">
      <alignment horizontal="center" vertical="center" shrinkToFit="1"/>
    </xf>
    <xf numFmtId="0" fontId="30" fillId="2" borderId="522" xfId="0" applyFont="1" applyFill="1" applyBorder="1" applyAlignment="1">
      <alignment horizontal="center" vertical="center" shrinkToFit="1"/>
    </xf>
    <xf numFmtId="0" fontId="30" fillId="2" borderId="523" xfId="0" applyFont="1" applyFill="1" applyBorder="1" applyAlignment="1">
      <alignment horizontal="center" vertical="center" shrinkToFit="1"/>
    </xf>
    <xf numFmtId="0" fontId="30" fillId="2" borderId="519" xfId="0" applyFont="1" applyFill="1" applyBorder="1" applyAlignment="1">
      <alignment horizontal="center" vertical="center" shrinkToFit="1"/>
    </xf>
    <xf numFmtId="0" fontId="30" fillId="2" borderId="290" xfId="0" applyFont="1" applyFill="1" applyBorder="1" applyAlignment="1">
      <alignment horizontal="center" vertical="center" shrinkToFit="1"/>
    </xf>
    <xf numFmtId="0" fontId="30" fillId="3" borderId="290" xfId="0" applyFont="1" applyFill="1" applyBorder="1" applyAlignment="1">
      <alignment horizontal="center" vertical="center" shrinkToFit="1"/>
    </xf>
    <xf numFmtId="0" fontId="13" fillId="2" borderId="21"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3" fillId="2" borderId="0" xfId="0" applyFont="1" applyFill="1" applyAlignment="1">
      <alignment horizontal="center" vertical="center"/>
    </xf>
    <xf numFmtId="0" fontId="13" fillId="2" borderId="2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0" xfId="0" applyFont="1" applyFill="1" applyAlignment="1">
      <alignment horizontal="left" vertical="center" wrapText="1"/>
    </xf>
    <xf numFmtId="0" fontId="13" fillId="2" borderId="19"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106" xfId="0" applyFont="1" applyFill="1" applyBorder="1" applyAlignment="1">
      <alignment horizontal="center" vertical="center" wrapText="1"/>
    </xf>
    <xf numFmtId="0" fontId="30" fillId="2" borderId="0" xfId="0" applyFont="1" applyFill="1" applyAlignment="1">
      <alignment horizontal="center" vertical="center" wrapText="1"/>
    </xf>
    <xf numFmtId="0" fontId="13" fillId="2" borderId="18" xfId="0" applyFont="1" applyFill="1" applyBorder="1" applyAlignment="1">
      <alignment horizontal="left" vertical="center"/>
    </xf>
    <xf numFmtId="0" fontId="13" fillId="2" borderId="1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0" fillId="2" borderId="4" xfId="0" applyFont="1" applyFill="1" applyBorder="1" applyAlignment="1">
      <alignment horizontal="center" vertical="center"/>
    </xf>
    <xf numFmtId="0" fontId="30" fillId="2" borderId="19" xfId="0" applyFont="1" applyFill="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26" fillId="2" borderId="0" xfId="0" applyFont="1" applyFill="1" applyAlignment="1">
      <alignment horizontal="left" vertical="center" wrapText="1"/>
    </xf>
    <xf numFmtId="0" fontId="30" fillId="2" borderId="17" xfId="0" applyFont="1" applyFill="1" applyBorder="1" applyAlignment="1">
      <alignment horizontal="center" vertical="center"/>
    </xf>
    <xf numFmtId="0" fontId="30" fillId="2" borderId="18" xfId="0" applyFont="1" applyFill="1" applyBorder="1" applyAlignment="1">
      <alignment horizontal="center" vertical="center"/>
    </xf>
    <xf numFmtId="0" fontId="13" fillId="2" borderId="32" xfId="0" applyFont="1" applyFill="1" applyBorder="1" applyAlignment="1">
      <alignment horizontal="left" vertical="center"/>
    </xf>
    <xf numFmtId="0" fontId="30" fillId="2" borderId="10" xfId="0" applyFont="1" applyFill="1" applyBorder="1" applyAlignment="1">
      <alignment horizontal="left" vertical="center"/>
    </xf>
    <xf numFmtId="0" fontId="33" fillId="2" borderId="0" xfId="0" applyFont="1" applyFill="1" applyAlignment="1">
      <alignment horizontal="left" vertical="center" shrinkToFit="1"/>
    </xf>
    <xf numFmtId="0" fontId="13" fillId="2" borderId="18" xfId="0" applyFont="1" applyFill="1" applyBorder="1" applyAlignment="1">
      <alignment horizontal="center" vertical="center" shrinkToFit="1"/>
    </xf>
    <xf numFmtId="0" fontId="30" fillId="2" borderId="0" xfId="0" applyFont="1" applyFill="1" applyAlignment="1">
      <alignment horizontal="left" vertical="center" wrapText="1"/>
    </xf>
    <xf numFmtId="0" fontId="13" fillId="2" borderId="45" xfId="0" applyFont="1" applyFill="1" applyBorder="1" applyAlignment="1">
      <alignment horizontal="center" vertical="center"/>
    </xf>
    <xf numFmtId="0" fontId="30" fillId="2" borderId="88" xfId="0" applyFont="1" applyFill="1" applyBorder="1" applyAlignment="1">
      <alignment horizontal="left" vertical="center" wrapText="1"/>
    </xf>
    <xf numFmtId="181" fontId="13" fillId="2" borderId="18" xfId="0" applyNumberFormat="1" applyFont="1" applyFill="1" applyBorder="1" applyAlignment="1">
      <alignment horizontal="center" vertical="center" shrinkToFit="1"/>
    </xf>
    <xf numFmtId="0" fontId="13" fillId="2" borderId="32" xfId="0" applyFont="1" applyFill="1" applyBorder="1" applyAlignment="1">
      <alignment horizontal="center" vertical="center" shrinkToFit="1"/>
    </xf>
    <xf numFmtId="0" fontId="13" fillId="0" borderId="18" xfId="0" applyFont="1" applyBorder="1" applyAlignment="1">
      <alignment horizontal="center" vertical="center"/>
    </xf>
    <xf numFmtId="0" fontId="30" fillId="0" borderId="28" xfId="0" applyFont="1" applyBorder="1" applyAlignment="1">
      <alignment horizontal="center" vertical="center" shrinkToFit="1"/>
    </xf>
    <xf numFmtId="0" fontId="13" fillId="2" borderId="60" xfId="0" applyFont="1" applyFill="1" applyBorder="1" applyAlignment="1">
      <alignment horizontal="center" vertical="center"/>
    </xf>
    <xf numFmtId="0" fontId="65" fillId="3" borderId="261" xfId="3" applyFont="1" applyFill="1" applyBorder="1" applyAlignment="1">
      <alignment horizontal="center" vertical="center" shrinkToFit="1"/>
    </xf>
    <xf numFmtId="205" fontId="13" fillId="0" borderId="0" xfId="3" applyNumberFormat="1" applyFont="1" applyAlignment="1">
      <alignment horizontal="center" vertical="center" shrinkToFit="1"/>
    </xf>
    <xf numFmtId="0" fontId="13" fillId="0" borderId="4" xfId="3" applyFont="1" applyBorder="1" applyAlignment="1">
      <alignment horizontal="center" vertical="center" shrinkToFit="1"/>
    </xf>
    <xf numFmtId="0" fontId="45" fillId="0" borderId="4" xfId="0" applyFont="1" applyBorder="1" applyAlignment="1">
      <alignment horizontal="center" vertical="center"/>
    </xf>
    <xf numFmtId="0" fontId="54" fillId="2" borderId="4" xfId="0" applyFont="1" applyFill="1" applyBorder="1" applyAlignment="1">
      <alignment horizontal="center" vertical="center"/>
    </xf>
    <xf numFmtId="0" fontId="54" fillId="2" borderId="0" xfId="0" applyFont="1" applyFill="1" applyAlignment="1">
      <alignment horizontal="center" vertical="center"/>
    </xf>
    <xf numFmtId="179" fontId="54" fillId="2" borderId="0" xfId="0" applyNumberFormat="1" applyFont="1" applyFill="1" applyAlignment="1">
      <alignment horizontal="center" vertical="center"/>
    </xf>
    <xf numFmtId="0" fontId="45" fillId="2" borderId="88" xfId="0" applyFont="1" applyFill="1" applyBorder="1" applyAlignment="1">
      <alignment horizontal="center" vertical="center"/>
    </xf>
    <xf numFmtId="0" fontId="45" fillId="2" borderId="0" xfId="0" applyFont="1" applyFill="1" applyAlignment="1">
      <alignment horizontal="center" vertical="center"/>
    </xf>
    <xf numFmtId="0" fontId="30" fillId="0" borderId="42" xfId="0" applyFont="1" applyBorder="1" applyAlignment="1">
      <alignment horizontal="center" vertical="center" shrinkToFit="1"/>
    </xf>
    <xf numFmtId="0" fontId="13" fillId="3" borderId="156" xfId="3" applyFont="1" applyFill="1" applyBorder="1" applyAlignment="1">
      <alignment horizontal="center" vertical="center" shrinkToFit="1"/>
    </xf>
    <xf numFmtId="0" fontId="13" fillId="3" borderId="12" xfId="3" applyFont="1" applyFill="1" applyBorder="1" applyAlignment="1">
      <alignment horizontal="center" vertical="center" shrinkToFit="1"/>
    </xf>
    <xf numFmtId="0" fontId="13" fillId="3" borderId="259" xfId="3" applyFont="1" applyFill="1" applyBorder="1" applyAlignment="1">
      <alignment horizontal="center" vertical="center" shrinkToFit="1"/>
    </xf>
    <xf numFmtId="0" fontId="13" fillId="3" borderId="157" xfId="3" applyFont="1" applyFill="1" applyBorder="1" applyAlignment="1">
      <alignment horizontal="center" vertical="center" shrinkToFit="1"/>
    </xf>
    <xf numFmtId="0" fontId="13" fillId="2" borderId="0" xfId="3" applyFont="1" applyFill="1" applyAlignment="1">
      <alignment horizontal="left" vertical="center"/>
    </xf>
    <xf numFmtId="0" fontId="13" fillId="2" borderId="211" xfId="3" applyFont="1" applyFill="1" applyBorder="1" applyAlignment="1">
      <alignment horizontal="center" vertical="center" shrinkToFit="1"/>
    </xf>
    <xf numFmtId="0" fontId="13" fillId="2" borderId="214" xfId="3" applyFont="1" applyFill="1" applyBorder="1" applyAlignment="1">
      <alignment horizontal="center" vertical="center" shrinkToFit="1"/>
    </xf>
    <xf numFmtId="0" fontId="4" fillId="2" borderId="6" xfId="3" applyFont="1" applyFill="1" applyBorder="1" applyAlignment="1">
      <alignment horizontal="center" vertical="center" shrinkToFit="1"/>
    </xf>
    <xf numFmtId="0" fontId="30" fillId="0" borderId="44" xfId="0" applyFont="1" applyBorder="1" applyAlignment="1">
      <alignment horizontal="center" vertical="center" shrinkToFit="1"/>
    </xf>
    <xf numFmtId="0" fontId="30" fillId="2" borderId="401" xfId="0" applyFont="1" applyFill="1" applyBorder="1" applyAlignment="1">
      <alignment horizontal="center" vertical="center" shrinkToFit="1"/>
    </xf>
    <xf numFmtId="0" fontId="30" fillId="2" borderId="398" xfId="0" applyFont="1" applyFill="1" applyBorder="1" applyAlignment="1">
      <alignment horizontal="center" vertical="center" shrinkToFit="1"/>
    </xf>
    <xf numFmtId="0" fontId="26" fillId="0" borderId="364" xfId="0" applyFont="1" applyBorder="1" applyAlignment="1">
      <alignment horizontal="center" vertical="center" shrinkToFit="1"/>
    </xf>
    <xf numFmtId="0" fontId="26" fillId="0" borderId="309" xfId="0" applyFont="1" applyBorder="1" applyAlignment="1">
      <alignment horizontal="center" vertical="center" shrinkToFit="1"/>
    </xf>
    <xf numFmtId="0" fontId="30" fillId="2" borderId="385" xfId="0" applyFont="1" applyFill="1" applyBorder="1" applyAlignment="1">
      <alignment horizontal="center" vertical="center" shrinkToFit="1"/>
    </xf>
    <xf numFmtId="0" fontId="30" fillId="2" borderId="157" xfId="0" applyFont="1" applyFill="1" applyBorder="1" applyAlignment="1">
      <alignment horizontal="center" vertical="center" shrinkToFit="1"/>
    </xf>
    <xf numFmtId="0" fontId="13" fillId="3" borderId="80" xfId="1" applyFont="1" applyFill="1" applyBorder="1" applyAlignment="1">
      <alignment horizontal="center" vertical="center" wrapText="1" shrinkToFit="1"/>
    </xf>
    <xf numFmtId="0" fontId="17" fillId="0" borderId="6" xfId="0" applyFont="1" applyBorder="1" applyAlignment="1">
      <alignment horizontal="center" vertical="center" shrinkToFit="1"/>
    </xf>
    <xf numFmtId="0" fontId="17" fillId="0" borderId="49" xfId="0" applyFont="1" applyBorder="1" applyAlignment="1">
      <alignment horizontal="center" vertical="center"/>
    </xf>
    <xf numFmtId="0" fontId="30" fillId="2" borderId="216" xfId="0" applyFont="1" applyFill="1" applyBorder="1" applyAlignment="1">
      <alignment horizontal="center" vertical="center" shrinkToFit="1"/>
    </xf>
    <xf numFmtId="0" fontId="30" fillId="2" borderId="429" xfId="0" applyFont="1" applyFill="1" applyBorder="1" applyAlignment="1">
      <alignment horizontal="center" vertical="center" shrinkToFit="1"/>
    </xf>
    <xf numFmtId="0" fontId="30" fillId="3" borderId="344" xfId="0" applyFont="1" applyFill="1" applyBorder="1" applyAlignment="1">
      <alignment horizontal="center" vertical="center" shrinkToFit="1"/>
    </xf>
    <xf numFmtId="0" fontId="30" fillId="2" borderId="417" xfId="0" applyFont="1" applyFill="1" applyBorder="1" applyAlignment="1">
      <alignment horizontal="center" vertical="center" shrinkToFit="1"/>
    </xf>
    <xf numFmtId="176" fontId="13" fillId="2" borderId="9" xfId="1" applyNumberFormat="1" applyFont="1" applyFill="1" applyBorder="1" applyAlignment="1">
      <alignment horizontal="center" vertical="center" shrinkToFit="1"/>
    </xf>
    <xf numFmtId="0" fontId="30" fillId="2" borderId="370" xfId="0" applyFont="1" applyFill="1" applyBorder="1" applyAlignment="1">
      <alignment horizontal="center" vertical="center" shrinkToFit="1"/>
    </xf>
    <xf numFmtId="0" fontId="30" fillId="0" borderId="10" xfId="0" applyFont="1" applyBorder="1" applyAlignment="1">
      <alignment horizontal="center" vertical="center" shrinkToFit="1"/>
    </xf>
    <xf numFmtId="0" fontId="30" fillId="2" borderId="187" xfId="0" applyFont="1" applyFill="1" applyBorder="1" applyAlignment="1">
      <alignment horizontal="center" vertical="center"/>
    </xf>
    <xf numFmtId="0" fontId="52" fillId="0" borderId="49" xfId="0" applyFont="1" applyBorder="1" applyAlignment="1">
      <alignment horizontal="center" vertical="center"/>
    </xf>
    <xf numFmtId="0" fontId="30" fillId="2" borderId="405" xfId="0" applyFont="1" applyFill="1" applyBorder="1" applyAlignment="1">
      <alignment horizontal="center" vertical="center" shrinkToFit="1"/>
    </xf>
    <xf numFmtId="0" fontId="30" fillId="2" borderId="478" xfId="0" applyFont="1" applyFill="1" applyBorder="1" applyAlignment="1">
      <alignment horizontal="center" vertical="center" shrinkToFit="1"/>
    </xf>
    <xf numFmtId="0" fontId="30" fillId="2" borderId="486" xfId="0" applyFont="1" applyFill="1" applyBorder="1" applyAlignment="1">
      <alignment horizontal="center" vertical="center" shrinkToFit="1"/>
    </xf>
    <xf numFmtId="0" fontId="52" fillId="2" borderId="406" xfId="0" applyFont="1" applyFill="1" applyBorder="1" applyAlignment="1">
      <alignment horizontal="center" vertical="center" shrinkToFit="1"/>
    </xf>
    <xf numFmtId="0" fontId="30" fillId="2" borderId="179" xfId="0" applyFont="1" applyFill="1" applyBorder="1" applyAlignment="1">
      <alignment horizontal="center" vertical="center" shrinkToFit="1"/>
    </xf>
    <xf numFmtId="0" fontId="52" fillId="2" borderId="481" xfId="0" applyFont="1" applyFill="1" applyBorder="1" applyAlignment="1">
      <alignment horizontal="center" vertical="center" shrinkToFit="1"/>
    </xf>
    <xf numFmtId="0" fontId="30" fillId="2" borderId="480" xfId="0" applyFont="1" applyFill="1" applyBorder="1" applyAlignment="1">
      <alignment horizontal="center" vertical="center" shrinkToFit="1"/>
    </xf>
    <xf numFmtId="0" fontId="26" fillId="0" borderId="421" xfId="0" applyFont="1" applyBorder="1" applyAlignment="1">
      <alignment horizontal="center" vertical="center" shrinkToFit="1"/>
    </xf>
    <xf numFmtId="0" fontId="10" fillId="2" borderId="1" xfId="0" applyFont="1" applyFill="1" applyBorder="1" applyAlignment="1">
      <alignment horizontal="center" vertical="center" shrinkToFit="1"/>
    </xf>
    <xf numFmtId="0" fontId="0" fillId="2" borderId="0" xfId="0" applyFill="1">
      <alignment vertical="center"/>
    </xf>
    <xf numFmtId="0" fontId="15" fillId="0" borderId="4" xfId="0" applyFont="1" applyBorder="1" applyAlignment="1">
      <alignment horizontal="center" vertical="center"/>
    </xf>
    <xf numFmtId="0" fontId="30" fillId="0" borderId="31" xfId="0" applyFont="1" applyBorder="1" applyAlignment="1">
      <alignment horizontal="center" vertical="center"/>
    </xf>
    <xf numFmtId="0" fontId="13" fillId="2" borderId="108" xfId="0" applyFont="1" applyFill="1" applyBorder="1">
      <alignment vertical="center"/>
    </xf>
    <xf numFmtId="0" fontId="30" fillId="2" borderId="109" xfId="0" applyFont="1" applyFill="1" applyBorder="1" applyAlignment="1">
      <alignment horizontal="left" vertical="center"/>
    </xf>
    <xf numFmtId="0" fontId="30" fillId="2" borderId="110" xfId="0" applyFont="1" applyFill="1" applyBorder="1" applyAlignment="1">
      <alignment horizontal="left" vertical="center"/>
    </xf>
    <xf numFmtId="14" fontId="10" fillId="0" borderId="6" xfId="0" applyNumberFormat="1" applyFont="1" applyBorder="1" applyAlignment="1">
      <alignment horizontal="center" vertical="center"/>
    </xf>
    <xf numFmtId="0" fontId="13" fillId="2" borderId="21" xfId="0" applyFont="1" applyFill="1" applyBorder="1">
      <alignment vertical="center"/>
    </xf>
    <xf numFmtId="0" fontId="13" fillId="0" borderId="198" xfId="0" applyFont="1" applyBorder="1" applyAlignment="1">
      <alignment horizontal="center" vertical="center"/>
    </xf>
    <xf numFmtId="0" fontId="40" fillId="2" borderId="0" xfId="0" applyFont="1" applyFill="1" applyAlignment="1">
      <alignment vertical="center" shrinkToFit="1"/>
    </xf>
    <xf numFmtId="0" fontId="10" fillId="2" borderId="4" xfId="0" applyFont="1" applyFill="1" applyBorder="1" applyAlignment="1">
      <alignment horizontal="center" vertical="center"/>
    </xf>
    <xf numFmtId="0" fontId="10" fillId="2" borderId="200" xfId="0" applyFont="1" applyFill="1" applyBorder="1">
      <alignment vertical="center"/>
    </xf>
    <xf numFmtId="0" fontId="30" fillId="2" borderId="200" xfId="0" applyFont="1" applyFill="1" applyBorder="1" applyAlignment="1">
      <alignment vertical="center" shrinkToFit="1"/>
    </xf>
    <xf numFmtId="0" fontId="10" fillId="2" borderId="202" xfId="0" applyFont="1" applyFill="1" applyBorder="1">
      <alignment vertical="center"/>
    </xf>
    <xf numFmtId="0" fontId="10" fillId="2" borderId="209" xfId="0" applyFont="1" applyFill="1" applyBorder="1">
      <alignment vertical="center"/>
    </xf>
    <xf numFmtId="0" fontId="30" fillId="6" borderId="200" xfId="0" applyFont="1" applyFill="1" applyBorder="1" applyAlignment="1" applyProtection="1">
      <alignment horizontal="center" vertical="center" shrinkToFit="1"/>
      <protection locked="0"/>
    </xf>
    <xf numFmtId="0" fontId="30" fillId="4" borderId="202" xfId="0" applyFont="1" applyFill="1" applyBorder="1" applyAlignment="1" applyProtection="1">
      <alignment vertical="center" shrinkToFit="1"/>
      <protection locked="0"/>
    </xf>
    <xf numFmtId="0" fontId="30" fillId="6" borderId="202" xfId="0" applyFont="1" applyFill="1" applyBorder="1" applyAlignment="1" applyProtection="1">
      <alignment horizontal="center" vertical="center" shrinkToFit="1"/>
      <protection locked="0"/>
    </xf>
    <xf numFmtId="0" fontId="30" fillId="4" borderId="200" xfId="0" applyFont="1" applyFill="1" applyBorder="1" applyAlignment="1" applyProtection="1">
      <alignment vertical="center" shrinkToFit="1"/>
      <protection locked="0"/>
    </xf>
    <xf numFmtId="0" fontId="30" fillId="4" borderId="209" xfId="0" applyFont="1" applyFill="1" applyBorder="1" applyAlignment="1" applyProtection="1">
      <alignment vertical="center" shrinkToFit="1"/>
      <protection locked="0"/>
    </xf>
    <xf numFmtId="0" fontId="30" fillId="6" borderId="209" xfId="0" applyFont="1" applyFill="1" applyBorder="1" applyAlignment="1" applyProtection="1">
      <alignment horizontal="center" vertical="center" shrinkToFit="1"/>
      <protection locked="0"/>
    </xf>
    <xf numFmtId="0" fontId="45" fillId="0" borderId="199" xfId="0" applyFont="1" applyBorder="1" applyAlignment="1">
      <alignment horizontal="center" vertical="center"/>
    </xf>
    <xf numFmtId="0" fontId="45" fillId="0" borderId="59" xfId="0" applyFont="1" applyBorder="1" applyAlignment="1">
      <alignment horizontal="center" vertical="center"/>
    </xf>
    <xf numFmtId="0" fontId="45" fillId="0" borderId="273" xfId="0" applyFont="1" applyBorder="1">
      <alignment vertical="center"/>
    </xf>
    <xf numFmtId="0" fontId="45" fillId="2" borderId="109" xfId="0" applyFont="1" applyFill="1" applyBorder="1" applyAlignment="1">
      <alignment vertical="center" shrinkToFit="1"/>
    </xf>
    <xf numFmtId="0" fontId="45" fillId="2" borderId="110" xfId="0" applyFont="1" applyFill="1" applyBorder="1" applyAlignment="1">
      <alignment vertical="center" shrinkToFit="1"/>
    </xf>
    <xf numFmtId="0" fontId="45" fillId="2" borderId="169" xfId="0" applyFont="1" applyFill="1" applyBorder="1" applyAlignment="1">
      <alignment vertical="center" shrinkToFit="1"/>
    </xf>
    <xf numFmtId="0" fontId="45" fillId="2" borderId="170" xfId="0" applyFont="1" applyFill="1" applyBorder="1" applyAlignment="1">
      <alignment vertical="center" shrinkToFit="1"/>
    </xf>
    <xf numFmtId="0" fontId="45" fillId="2" borderId="117" xfId="0" applyFont="1" applyFill="1" applyBorder="1" applyAlignment="1">
      <alignment vertical="center" shrinkToFit="1"/>
    </xf>
    <xf numFmtId="0" fontId="45" fillId="2" borderId="92" xfId="0" applyFont="1" applyFill="1" applyBorder="1" applyAlignment="1">
      <alignment vertical="center" shrinkToFit="1"/>
    </xf>
    <xf numFmtId="0" fontId="45" fillId="0" borderId="59" xfId="0" applyFont="1" applyBorder="1">
      <alignment vertical="center"/>
    </xf>
    <xf numFmtId="0" fontId="65" fillId="6" borderId="10" xfId="3" applyFont="1" applyFill="1" applyBorder="1" applyAlignment="1" applyProtection="1">
      <alignment horizontal="center" vertical="center" shrinkToFit="1"/>
      <protection locked="0"/>
    </xf>
    <xf numFmtId="0" fontId="65" fillId="6" borderId="18" xfId="3" applyFont="1" applyFill="1" applyBorder="1" applyAlignment="1" applyProtection="1">
      <alignment horizontal="center" vertical="center" shrinkToFit="1"/>
      <protection locked="0"/>
    </xf>
    <xf numFmtId="0" fontId="65" fillId="4" borderId="466" xfId="3" applyFont="1" applyFill="1" applyBorder="1" applyAlignment="1" applyProtection="1">
      <alignment horizontal="center" vertical="center" shrinkToFit="1"/>
      <protection locked="0"/>
    </xf>
    <xf numFmtId="0" fontId="65" fillId="4" borderId="266" xfId="3" applyFont="1" applyFill="1" applyBorder="1" applyAlignment="1" applyProtection="1">
      <alignment horizontal="center" vertical="center" shrinkToFit="1"/>
      <protection locked="0"/>
    </xf>
    <xf numFmtId="0" fontId="65" fillId="4" borderId="412" xfId="3" applyFont="1" applyFill="1" applyBorder="1" applyAlignment="1" applyProtection="1">
      <alignment horizontal="center" vertical="center" shrinkToFit="1"/>
      <protection locked="0"/>
    </xf>
    <xf numFmtId="178" fontId="13" fillId="2" borderId="12" xfId="3" applyNumberFormat="1" applyFont="1" applyFill="1" applyBorder="1" applyAlignment="1">
      <alignment vertical="center" shrinkToFit="1"/>
    </xf>
    <xf numFmtId="2" fontId="45" fillId="2" borderId="480" xfId="0" applyNumberFormat="1" applyFont="1" applyFill="1" applyBorder="1" applyAlignment="1">
      <alignment horizontal="right" vertical="center"/>
    </xf>
    <xf numFmtId="2" fontId="45" fillId="2" borderId="297" xfId="0" applyNumberFormat="1" applyFont="1" applyFill="1" applyBorder="1" applyAlignment="1">
      <alignment horizontal="right" vertical="center"/>
    </xf>
    <xf numFmtId="2" fontId="45" fillId="2" borderId="478" xfId="0" applyNumberFormat="1" applyFont="1" applyFill="1" applyBorder="1" applyAlignment="1">
      <alignment horizontal="right" vertical="center"/>
    </xf>
    <xf numFmtId="2" fontId="45" fillId="2" borderId="301" xfId="0" applyNumberFormat="1" applyFont="1" applyFill="1" applyBorder="1" applyAlignment="1">
      <alignment horizontal="right" vertical="center"/>
    </xf>
    <xf numFmtId="2" fontId="45" fillId="2" borderId="0" xfId="0" applyNumberFormat="1" applyFont="1" applyFill="1" applyAlignment="1">
      <alignment horizontal="right" vertical="center"/>
    </xf>
    <xf numFmtId="0" fontId="71" fillId="2" borderId="0" xfId="0" applyFont="1" applyFill="1">
      <alignment vertical="center"/>
    </xf>
    <xf numFmtId="0" fontId="13" fillId="2" borderId="321" xfId="3" applyFont="1" applyFill="1" applyBorder="1" applyAlignment="1">
      <alignment horizontal="center" vertical="center" shrinkToFit="1"/>
    </xf>
    <xf numFmtId="0" fontId="13" fillId="2" borderId="293" xfId="3" applyFont="1" applyFill="1" applyBorder="1" applyAlignment="1">
      <alignment horizontal="center" vertical="center" shrinkToFit="1"/>
    </xf>
    <xf numFmtId="0" fontId="13" fillId="2" borderId="323" xfId="3" applyFont="1" applyFill="1" applyBorder="1" applyAlignment="1">
      <alignment horizontal="center" vertical="center" shrinkToFit="1"/>
    </xf>
    <xf numFmtId="0" fontId="13" fillId="2" borderId="295" xfId="3" applyFont="1" applyFill="1" applyBorder="1" applyAlignment="1">
      <alignment horizontal="center" vertical="center" shrinkToFit="1"/>
    </xf>
    <xf numFmtId="0" fontId="13" fillId="2" borderId="299" xfId="3" applyFont="1" applyFill="1" applyBorder="1" applyAlignment="1">
      <alignment horizontal="center" vertical="center" shrinkToFit="1"/>
    </xf>
    <xf numFmtId="210" fontId="13" fillId="0" borderId="320" xfId="3" applyNumberFormat="1" applyFont="1" applyBorder="1" applyAlignment="1" applyProtection="1">
      <alignment horizontal="right" vertical="center" shrinkToFit="1"/>
      <protection locked="0"/>
    </xf>
    <xf numFmtId="210" fontId="13" fillId="0" borderId="212" xfId="3" applyNumberFormat="1" applyFont="1" applyBorder="1" applyAlignment="1" applyProtection="1">
      <alignment horizontal="right" vertical="center" shrinkToFit="1"/>
      <protection locked="0"/>
    </xf>
    <xf numFmtId="210" fontId="13" fillId="0" borderId="215" xfId="3" applyNumberFormat="1" applyFont="1" applyBorder="1" applyAlignment="1" applyProtection="1">
      <alignment horizontal="right" vertical="center" shrinkToFit="1"/>
      <protection locked="0"/>
    </xf>
    <xf numFmtId="0" fontId="41" fillId="2" borderId="0" xfId="1" applyFont="1" applyFill="1">
      <alignment vertical="center"/>
    </xf>
    <xf numFmtId="0" fontId="4" fillId="2" borderId="0" xfId="1" applyFont="1" applyFill="1">
      <alignment vertical="center"/>
    </xf>
    <xf numFmtId="0" fontId="4" fillId="0" borderId="0" xfId="1" applyFont="1">
      <alignment vertical="center"/>
    </xf>
    <xf numFmtId="0" fontId="8" fillId="2" borderId="0" xfId="1" applyFont="1" applyFill="1">
      <alignment vertical="center"/>
    </xf>
    <xf numFmtId="0" fontId="41" fillId="2" borderId="0" xfId="1" applyFont="1" applyFill="1" applyAlignment="1"/>
    <xf numFmtId="0" fontId="41" fillId="2" borderId="0" xfId="1" applyFont="1" applyFill="1" applyAlignment="1">
      <alignment horizontal="right" vertical="center"/>
    </xf>
    <xf numFmtId="0" fontId="4" fillId="2" borderId="0" xfId="1" applyFont="1" applyFill="1" applyAlignment="1">
      <alignment horizontal="center" vertical="center"/>
    </xf>
    <xf numFmtId="0" fontId="41" fillId="2" borderId="46" xfId="1" applyFont="1" applyFill="1" applyBorder="1" applyAlignment="1">
      <alignment horizontal="center" vertical="center"/>
    </xf>
    <xf numFmtId="0" fontId="41" fillId="2" borderId="3" xfId="1" applyFont="1" applyFill="1" applyBorder="1" applyAlignment="1">
      <alignment horizontal="center" vertical="center"/>
    </xf>
    <xf numFmtId="0" fontId="41" fillId="2" borderId="27" xfId="1" applyFont="1" applyFill="1" applyBorder="1" applyAlignment="1">
      <alignment horizontal="center" vertical="center"/>
    </xf>
    <xf numFmtId="0" fontId="41" fillId="2" borderId="47" xfId="1" applyFont="1" applyFill="1" applyBorder="1" applyAlignment="1">
      <alignment horizontal="center" vertical="center"/>
    </xf>
    <xf numFmtId="0" fontId="4" fillId="0" borderId="0" xfId="1" applyFont="1" applyAlignment="1">
      <alignment horizontal="center" vertical="center"/>
    </xf>
    <xf numFmtId="192" fontId="13" fillId="4" borderId="4" xfId="1" applyNumberFormat="1" applyFont="1" applyFill="1" applyBorder="1" applyAlignment="1" applyProtection="1">
      <alignment horizontal="right" vertical="center" shrinkToFit="1"/>
      <protection locked="0"/>
    </xf>
    <xf numFmtId="187" fontId="13" fillId="4" borderId="4" xfId="1" applyNumberFormat="1" applyFont="1" applyFill="1" applyBorder="1" applyAlignment="1" applyProtection="1">
      <alignment horizontal="right" vertical="center" shrinkToFit="1"/>
      <protection locked="0"/>
    </xf>
    <xf numFmtId="211" fontId="13" fillId="4" borderId="402" xfId="1" applyNumberFormat="1" applyFont="1" applyFill="1" applyBorder="1" applyAlignment="1" applyProtection="1">
      <alignment horizontal="right" vertical="center" shrinkToFit="1"/>
      <protection locked="0"/>
    </xf>
    <xf numFmtId="0" fontId="30" fillId="4" borderId="387" xfId="0" applyFont="1" applyFill="1" applyBorder="1" applyAlignment="1" applyProtection="1">
      <alignment horizontal="center" vertical="center" shrinkToFit="1"/>
      <protection locked="0"/>
    </xf>
    <xf numFmtId="0" fontId="30" fillId="4" borderId="519" xfId="0" applyFont="1" applyFill="1" applyBorder="1" applyAlignment="1" applyProtection="1">
      <alignment horizontal="center" vertical="center" shrinkToFit="1"/>
      <protection locked="0"/>
    </xf>
    <xf numFmtId="0" fontId="30" fillId="4" borderId="495" xfId="0" applyFont="1" applyFill="1" applyBorder="1" applyAlignment="1" applyProtection="1">
      <alignment horizontal="center" vertical="center" shrinkToFit="1"/>
      <protection locked="0"/>
    </xf>
    <xf numFmtId="0" fontId="30" fillId="4" borderId="389" xfId="0" applyFont="1" applyFill="1" applyBorder="1" applyAlignment="1" applyProtection="1">
      <alignment horizontal="center" vertical="center" shrinkToFit="1"/>
      <protection locked="0"/>
    </xf>
    <xf numFmtId="0" fontId="30" fillId="4" borderId="524" xfId="0" applyFont="1" applyFill="1" applyBorder="1" applyAlignment="1" applyProtection="1">
      <alignment horizontal="center" vertical="center" shrinkToFit="1"/>
      <protection locked="0"/>
    </xf>
    <xf numFmtId="0" fontId="30" fillId="4" borderId="521" xfId="0" applyFont="1" applyFill="1" applyBorder="1" applyAlignment="1" applyProtection="1">
      <alignment horizontal="center" vertical="center" shrinkToFit="1"/>
      <protection locked="0"/>
    </xf>
    <xf numFmtId="0" fontId="30" fillId="4" borderId="525" xfId="0" applyFont="1" applyFill="1" applyBorder="1" applyAlignment="1" applyProtection="1">
      <alignment horizontal="center" vertical="center" shrinkToFit="1"/>
      <protection locked="0"/>
    </xf>
    <xf numFmtId="0" fontId="30" fillId="4" borderId="301" xfId="0" applyFont="1" applyFill="1" applyBorder="1" applyAlignment="1" applyProtection="1">
      <alignment horizontal="center" vertical="center" shrinkToFit="1"/>
      <protection locked="0"/>
    </xf>
    <xf numFmtId="2" fontId="30" fillId="4" borderId="233" xfId="0" applyNumberFormat="1" applyFont="1" applyFill="1" applyBorder="1" applyAlignment="1" applyProtection="1">
      <alignment horizontal="center" vertical="center"/>
      <protection locked="0"/>
    </xf>
    <xf numFmtId="2" fontId="30" fillId="4" borderId="236" xfId="0" applyNumberFormat="1" applyFont="1" applyFill="1" applyBorder="1" applyAlignment="1" applyProtection="1">
      <alignment horizontal="center" vertical="center"/>
      <protection locked="0"/>
    </xf>
    <xf numFmtId="2" fontId="30" fillId="4" borderId="461" xfId="0" applyNumberFormat="1" applyFont="1" applyFill="1" applyBorder="1" applyAlignment="1" applyProtection="1">
      <alignment horizontal="center" vertical="center"/>
      <protection locked="0"/>
    </xf>
    <xf numFmtId="2" fontId="30" fillId="4" borderId="369" xfId="0" applyNumberFormat="1" applyFont="1" applyFill="1" applyBorder="1" applyAlignment="1" applyProtection="1">
      <alignment horizontal="center" vertical="center"/>
      <protection locked="0"/>
    </xf>
    <xf numFmtId="2" fontId="30" fillId="4" borderId="446" xfId="0" applyNumberFormat="1" applyFont="1" applyFill="1" applyBorder="1" applyAlignment="1" applyProtection="1">
      <alignment horizontal="center" vertical="center"/>
      <protection locked="0"/>
    </xf>
    <xf numFmtId="2" fontId="30" fillId="4" borderId="447" xfId="0" applyNumberFormat="1" applyFont="1" applyFill="1" applyBorder="1" applyAlignment="1" applyProtection="1">
      <alignment horizontal="center" vertical="center"/>
      <protection locked="0"/>
    </xf>
    <xf numFmtId="2" fontId="30" fillId="4" borderId="238" xfId="0" applyNumberFormat="1" applyFont="1" applyFill="1" applyBorder="1" applyAlignment="1" applyProtection="1">
      <alignment horizontal="center" vertical="center"/>
      <protection locked="0"/>
    </xf>
    <xf numFmtId="2" fontId="30" fillId="4" borderId="453" xfId="0" applyNumberFormat="1" applyFont="1" applyFill="1" applyBorder="1" applyAlignment="1" applyProtection="1">
      <alignment horizontal="center" vertical="center"/>
      <protection locked="0"/>
    </xf>
    <xf numFmtId="2" fontId="30" fillId="4" borderId="454" xfId="0" applyNumberFormat="1" applyFont="1" applyFill="1" applyBorder="1" applyAlignment="1" applyProtection="1">
      <alignment horizontal="center" vertical="center"/>
      <protection locked="0"/>
    </xf>
    <xf numFmtId="0" fontId="16" fillId="2" borderId="0" xfId="0" applyFont="1" applyFill="1">
      <alignment vertical="center"/>
    </xf>
    <xf numFmtId="0" fontId="9" fillId="2" borderId="0" xfId="0" applyFont="1" applyFill="1">
      <alignment vertical="center"/>
    </xf>
    <xf numFmtId="0" fontId="16" fillId="2" borderId="18" xfId="0" applyFont="1" applyFill="1" applyBorder="1">
      <alignment vertical="center"/>
    </xf>
    <xf numFmtId="0" fontId="16" fillId="2" borderId="186" xfId="0" applyFont="1" applyFill="1" applyBorder="1">
      <alignment vertical="center"/>
    </xf>
    <xf numFmtId="0" fontId="43" fillId="2" borderId="0" xfId="0" applyFont="1" applyFill="1">
      <alignment vertical="center"/>
    </xf>
    <xf numFmtId="0" fontId="10" fillId="2" borderId="12"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76" xfId="0" applyFont="1" applyFill="1" applyBorder="1" applyAlignment="1">
      <alignment horizontal="center" vertical="center" shrinkToFit="1"/>
    </xf>
    <xf numFmtId="0" fontId="10" fillId="2" borderId="80" xfId="0" applyFont="1" applyFill="1" applyBorder="1" applyAlignment="1">
      <alignment vertical="center" textRotation="255" shrinkToFit="1"/>
    </xf>
    <xf numFmtId="0" fontId="10" fillId="2" borderId="28" xfId="0" applyFont="1" applyFill="1" applyBorder="1" applyAlignment="1">
      <alignment vertical="center" textRotation="255" shrinkToFit="1"/>
    </xf>
    <xf numFmtId="0" fontId="10" fillId="2" borderId="82" xfId="0" applyFont="1" applyFill="1" applyBorder="1" applyAlignment="1">
      <alignment vertical="center" textRotation="255" shrinkToFit="1"/>
    </xf>
    <xf numFmtId="187" fontId="10" fillId="2" borderId="80" xfId="0" applyNumberFormat="1" applyFont="1" applyFill="1" applyBorder="1" applyAlignment="1">
      <alignment vertical="center" textRotation="255" shrinkToFit="1"/>
    </xf>
    <xf numFmtId="0" fontId="10" fillId="2" borderId="178" xfId="0" applyFont="1" applyFill="1" applyBorder="1" applyAlignment="1">
      <alignment vertical="center" textRotation="255" shrinkToFit="1"/>
    </xf>
    <xf numFmtId="0" fontId="10" fillId="2" borderId="83" xfId="0" applyFont="1" applyFill="1" applyBorder="1" applyAlignment="1">
      <alignment horizontal="center" vertical="center" textRotation="255" shrinkToFit="1"/>
    </xf>
    <xf numFmtId="0" fontId="10" fillId="2" borderId="82" xfId="0" applyFont="1" applyFill="1" applyBorder="1" applyAlignment="1">
      <alignment horizontal="center" vertical="center" textRotation="255" shrinkToFit="1"/>
    </xf>
    <xf numFmtId="0" fontId="10" fillId="2" borderId="80" xfId="0" applyFont="1" applyFill="1" applyBorder="1" applyAlignment="1">
      <alignment vertical="center" textRotation="255" wrapText="1" shrinkToFit="1"/>
    </xf>
    <xf numFmtId="0" fontId="10" fillId="2" borderId="132" xfId="0" applyFont="1" applyFill="1" applyBorder="1" applyAlignment="1">
      <alignment vertical="center" textRotation="255" wrapText="1" shrinkToFit="1"/>
    </xf>
    <xf numFmtId="0" fontId="10" fillId="2" borderId="229" xfId="0" applyFont="1" applyFill="1" applyBorder="1" applyAlignment="1">
      <alignment horizontal="center" vertical="center"/>
    </xf>
    <xf numFmtId="0" fontId="10" fillId="2" borderId="230" xfId="0" applyFont="1" applyFill="1" applyBorder="1" applyAlignment="1">
      <alignment horizontal="center" vertical="center"/>
    </xf>
    <xf numFmtId="0" fontId="10" fillId="2" borderId="231" xfId="0" applyFont="1" applyFill="1" applyBorder="1" applyAlignment="1">
      <alignment horizontal="center" vertical="center"/>
    </xf>
    <xf numFmtId="0" fontId="10" fillId="2" borderId="221" xfId="0" applyFont="1" applyFill="1" applyBorder="1" applyAlignment="1">
      <alignment horizontal="center" vertical="center" shrinkToFit="1"/>
    </xf>
    <xf numFmtId="0" fontId="10" fillId="2" borderId="212" xfId="0" applyFont="1" applyFill="1" applyBorder="1" applyAlignment="1">
      <alignment horizontal="center" vertical="center" shrinkToFit="1"/>
    </xf>
    <xf numFmtId="0" fontId="10" fillId="2" borderId="228" xfId="0" applyFont="1" applyFill="1" applyBorder="1" applyAlignment="1">
      <alignment horizontal="center" vertical="center" shrinkToFit="1"/>
    </xf>
    <xf numFmtId="2" fontId="30" fillId="2" borderId="447" xfId="0" applyNumberFormat="1" applyFont="1" applyFill="1" applyBorder="1" applyAlignment="1">
      <alignment horizontal="center" vertical="center"/>
    </xf>
    <xf numFmtId="2" fontId="30" fillId="16" borderId="454" xfId="0" applyNumberFormat="1" applyFont="1" applyFill="1" applyBorder="1" applyAlignment="1">
      <alignment horizontal="center" vertical="center"/>
    </xf>
    <xf numFmtId="0" fontId="13" fillId="0" borderId="186" xfId="3" applyFont="1" applyBorder="1" applyAlignment="1">
      <alignment horizontal="center" vertical="center" shrinkToFit="1"/>
    </xf>
    <xf numFmtId="0" fontId="13" fillId="0" borderId="21" xfId="3" applyFont="1" applyBorder="1" applyAlignment="1">
      <alignment shrinkToFit="1"/>
    </xf>
    <xf numFmtId="49" fontId="31" fillId="0" borderId="21" xfId="9" applyNumberFormat="1" applyFont="1" applyBorder="1" applyAlignment="1">
      <alignment vertical="center" shrinkToFit="1"/>
    </xf>
    <xf numFmtId="0" fontId="45" fillId="6" borderId="0" xfId="0" applyFont="1" applyFill="1" applyAlignment="1" applyProtection="1">
      <alignment horizontal="center" vertical="center" shrinkToFit="1"/>
      <protection locked="0"/>
    </xf>
    <xf numFmtId="0" fontId="45" fillId="6" borderId="87" xfId="0" applyFont="1" applyFill="1" applyBorder="1" applyAlignment="1" applyProtection="1">
      <alignment horizontal="center" vertical="center" shrinkToFit="1"/>
      <protection locked="0"/>
    </xf>
    <xf numFmtId="0" fontId="45" fillId="6" borderId="88" xfId="0" applyFont="1" applyFill="1" applyBorder="1" applyAlignment="1" applyProtection="1">
      <alignment horizontal="center" vertical="center" shrinkToFit="1"/>
      <protection locked="0"/>
    </xf>
    <xf numFmtId="2" fontId="30" fillId="2" borderId="415" xfId="0" applyNumberFormat="1" applyFont="1" applyFill="1" applyBorder="1" applyAlignment="1">
      <alignment horizontal="center" vertical="center" shrinkToFit="1"/>
    </xf>
    <xf numFmtId="2" fontId="30" fillId="2" borderId="154" xfId="0" applyNumberFormat="1" applyFont="1" applyFill="1" applyBorder="1" applyAlignment="1">
      <alignment horizontal="center" vertical="center" shrinkToFit="1"/>
    </xf>
    <xf numFmtId="217" fontId="30" fillId="2" borderId="325" xfId="4" applyNumberFormat="1" applyFont="1" applyFill="1" applyBorder="1" applyAlignment="1" applyProtection="1">
      <alignment horizontal="right" vertical="center" shrinkToFit="1"/>
    </xf>
    <xf numFmtId="217" fontId="30" fillId="2" borderId="411" xfId="0" applyNumberFormat="1" applyFont="1" applyFill="1" applyBorder="1" applyAlignment="1">
      <alignment horizontal="right" vertical="center" shrinkToFit="1"/>
    </xf>
    <xf numFmtId="217" fontId="30" fillId="2" borderId="154" xfId="0" applyNumberFormat="1" applyFont="1" applyFill="1" applyBorder="1" applyAlignment="1">
      <alignment horizontal="right" vertical="center" shrinkToFit="1"/>
    </xf>
    <xf numFmtId="217" fontId="30" fillId="2" borderId="372" xfId="0" applyNumberFormat="1" applyFont="1" applyFill="1" applyBorder="1" applyAlignment="1">
      <alignment horizontal="right" vertical="center" shrinkToFit="1"/>
    </xf>
    <xf numFmtId="217" fontId="30" fillId="2" borderId="325" xfId="0" applyNumberFormat="1" applyFont="1" applyFill="1" applyBorder="1" applyAlignment="1">
      <alignment horizontal="right" vertical="center" shrinkToFit="1"/>
    </xf>
    <xf numFmtId="217" fontId="30" fillId="2" borderId="403" xfId="4" applyNumberFormat="1" applyFont="1" applyFill="1" applyBorder="1" applyAlignment="1" applyProtection="1">
      <alignment vertical="center" shrinkToFit="1"/>
    </xf>
    <xf numFmtId="217" fontId="30" fillId="2" borderId="330" xfId="4" applyNumberFormat="1" applyFont="1" applyFill="1" applyBorder="1" applyAlignment="1" applyProtection="1">
      <alignment horizontal="right" vertical="center" shrinkToFit="1"/>
    </xf>
    <xf numFmtId="217" fontId="30" fillId="2" borderId="101" xfId="4" applyNumberFormat="1" applyFont="1" applyFill="1" applyBorder="1" applyAlignment="1" applyProtection="1">
      <alignment horizontal="right" vertical="center" shrinkToFit="1"/>
    </xf>
    <xf numFmtId="217" fontId="13" fillId="2" borderId="248" xfId="1" applyNumberFormat="1" applyFont="1" applyFill="1" applyBorder="1" applyAlignment="1">
      <alignment horizontal="right" vertical="center" shrinkToFit="1"/>
    </xf>
    <xf numFmtId="217" fontId="13" fillId="2" borderId="325" xfId="1" applyNumberFormat="1" applyFont="1" applyFill="1" applyBorder="1" applyAlignment="1">
      <alignment horizontal="right" vertical="center" shrinkToFit="1"/>
    </xf>
    <xf numFmtId="217" fontId="13" fillId="2" borderId="493" xfId="1" applyNumberFormat="1" applyFont="1" applyFill="1" applyBorder="1" applyAlignment="1">
      <alignment horizontal="right" vertical="center" shrinkToFit="1"/>
    </xf>
    <xf numFmtId="217" fontId="30" fillId="2" borderId="101" xfId="0" applyNumberFormat="1" applyFont="1" applyFill="1" applyBorder="1" applyAlignment="1">
      <alignment horizontal="right" vertical="center" shrinkToFit="1"/>
    </xf>
    <xf numFmtId="212" fontId="30" fillId="2" borderId="186" xfId="0" applyNumberFormat="1" applyFont="1" applyFill="1" applyBorder="1" applyAlignment="1">
      <alignment horizontal="right" vertical="center" shrinkToFit="1"/>
    </xf>
    <xf numFmtId="0" fontId="60" fillId="0" borderId="0" xfId="0" applyFont="1">
      <alignment vertical="center"/>
    </xf>
    <xf numFmtId="0" fontId="30" fillId="0" borderId="187" xfId="0" applyFont="1" applyBorder="1">
      <alignment vertical="center"/>
    </xf>
    <xf numFmtId="0" fontId="30" fillId="0" borderId="507" xfId="0" applyFont="1" applyBorder="1">
      <alignment vertical="center"/>
    </xf>
    <xf numFmtId="0" fontId="30" fillId="0" borderId="16" xfId="0" applyFont="1" applyBorder="1">
      <alignment vertical="center"/>
    </xf>
    <xf numFmtId="0" fontId="30" fillId="0" borderId="21" xfId="0" applyFont="1" applyBorder="1">
      <alignment vertical="center"/>
    </xf>
    <xf numFmtId="0" fontId="30" fillId="0" borderId="15" xfId="0" applyFont="1" applyBorder="1">
      <alignment vertical="center"/>
    </xf>
    <xf numFmtId="0" fontId="30" fillId="0" borderId="20" xfId="0" applyFont="1" applyBorder="1">
      <alignment vertical="center"/>
    </xf>
    <xf numFmtId="0" fontId="30" fillId="0" borderId="10" xfId="0" applyFont="1" applyBorder="1">
      <alignment vertical="center"/>
    </xf>
    <xf numFmtId="0" fontId="30" fillId="0" borderId="13" xfId="0" applyFont="1" applyBorder="1">
      <alignment vertical="center"/>
    </xf>
    <xf numFmtId="0" fontId="31" fillId="0" borderId="364" xfId="0" applyFont="1" applyBorder="1" applyAlignment="1">
      <alignment horizontal="center" vertical="center" shrinkToFit="1"/>
    </xf>
    <xf numFmtId="38" fontId="58" fillId="2" borderId="479" xfId="4" applyFont="1" applyFill="1" applyBorder="1" applyAlignment="1" applyProtection="1">
      <alignment horizontal="right" vertical="center" shrinkToFit="1"/>
    </xf>
    <xf numFmtId="38" fontId="58" fillId="2" borderId="296" xfId="4" applyFont="1" applyFill="1" applyBorder="1" applyAlignment="1" applyProtection="1">
      <alignment horizontal="right" vertical="center" shrinkToFit="1"/>
    </xf>
    <xf numFmtId="38" fontId="58" fillId="2" borderId="477" xfId="4" applyFont="1" applyFill="1" applyBorder="1" applyAlignment="1" applyProtection="1">
      <alignment horizontal="right" vertical="center" shrinkToFit="1"/>
    </xf>
    <xf numFmtId="38" fontId="58" fillId="2" borderId="300" xfId="4" applyFont="1" applyFill="1" applyBorder="1" applyAlignment="1" applyProtection="1">
      <alignment horizontal="right" vertical="center" shrinkToFit="1"/>
    </xf>
    <xf numFmtId="0" fontId="30" fillId="0" borderId="520" xfId="0" applyFont="1" applyBorder="1" applyAlignment="1" applyProtection="1">
      <alignment horizontal="center" vertical="center" shrinkToFit="1"/>
      <protection locked="0"/>
    </xf>
    <xf numFmtId="0" fontId="20" fillId="0" borderId="535" xfId="3" applyFont="1" applyBorder="1" applyAlignment="1">
      <alignment horizontal="center" vertical="center"/>
    </xf>
    <xf numFmtId="0" fontId="20" fillId="0" borderId="535" xfId="3" applyFont="1" applyBorder="1" applyAlignment="1">
      <alignment vertical="center"/>
    </xf>
    <xf numFmtId="0" fontId="13" fillId="2" borderId="13" xfId="0" applyFont="1" applyFill="1" applyBorder="1" applyAlignment="1">
      <alignment horizontal="center" vertical="center"/>
    </xf>
    <xf numFmtId="0" fontId="30" fillId="7" borderId="0" xfId="0" applyFont="1" applyFill="1" applyAlignment="1">
      <alignment horizontal="center" vertical="center" shrinkToFit="1"/>
    </xf>
    <xf numFmtId="0" fontId="46" fillId="2" borderId="0" xfId="0" applyFont="1" applyFill="1" applyAlignment="1">
      <alignment horizontal="left" vertical="center"/>
    </xf>
    <xf numFmtId="0" fontId="45" fillId="2" borderId="15" xfId="0" applyFont="1" applyFill="1" applyBorder="1" applyAlignment="1">
      <alignment horizontal="center" vertical="center"/>
    </xf>
    <xf numFmtId="0" fontId="13" fillId="2" borderId="535" xfId="0" applyFont="1" applyFill="1" applyBorder="1" applyAlignment="1">
      <alignment horizontal="center" vertical="center"/>
    </xf>
    <xf numFmtId="0" fontId="13" fillId="2" borderId="186" xfId="0" applyFont="1" applyFill="1" applyBorder="1">
      <alignment vertical="center"/>
    </xf>
    <xf numFmtId="0" fontId="45" fillId="2" borderId="21" xfId="0" applyFont="1" applyFill="1" applyBorder="1">
      <alignment vertical="center"/>
    </xf>
    <xf numFmtId="0" fontId="45" fillId="2" borderId="15" xfId="0" applyFont="1" applyFill="1" applyBorder="1">
      <alignment vertical="center"/>
    </xf>
    <xf numFmtId="0" fontId="45" fillId="2" borderId="10" xfId="0" applyFont="1" applyFill="1" applyBorder="1">
      <alignment vertical="center"/>
    </xf>
    <xf numFmtId="0" fontId="47" fillId="2" borderId="0" xfId="0" applyFont="1" applyFill="1" applyAlignment="1">
      <alignment horizontal="left" vertical="center"/>
    </xf>
    <xf numFmtId="0" fontId="47" fillId="2" borderId="15" xfId="0" applyFont="1" applyFill="1" applyBorder="1" applyAlignment="1">
      <alignment horizontal="left" vertical="center"/>
    </xf>
    <xf numFmtId="0" fontId="45" fillId="2" borderId="18" xfId="0" applyFont="1" applyFill="1" applyBorder="1" applyAlignment="1">
      <alignment horizontal="center" vertical="center"/>
    </xf>
    <xf numFmtId="196" fontId="79" fillId="13" borderId="131" xfId="3" applyNumberFormat="1" applyFont="1" applyFill="1" applyBorder="1" applyAlignment="1" applyProtection="1">
      <alignment horizontal="left" shrinkToFit="1"/>
      <protection locked="0"/>
    </xf>
    <xf numFmtId="196" fontId="79" fillId="13" borderId="133" xfId="3" applyNumberFormat="1" applyFont="1" applyFill="1" applyBorder="1" applyAlignment="1" applyProtection="1">
      <alignment horizontal="left" shrinkToFit="1"/>
      <protection locked="0"/>
    </xf>
    <xf numFmtId="0" fontId="13" fillId="2" borderId="62" xfId="0" applyFont="1" applyFill="1" applyBorder="1">
      <alignment vertical="center"/>
    </xf>
    <xf numFmtId="0" fontId="80" fillId="0" borderId="0" xfId="12"/>
    <xf numFmtId="0" fontId="45" fillId="0" borderId="0" xfId="12" applyFont="1" applyAlignment="1">
      <alignment horizontal="left" vertical="center"/>
    </xf>
    <xf numFmtId="0" fontId="81" fillId="0" borderId="0" xfId="7" applyFont="1">
      <alignment vertical="center"/>
    </xf>
    <xf numFmtId="0" fontId="9" fillId="0" borderId="0" xfId="12" applyFont="1" applyAlignment="1">
      <alignment horizontal="left"/>
    </xf>
    <xf numFmtId="0" fontId="9" fillId="0" borderId="0" xfId="12" applyFont="1" applyAlignment="1">
      <alignment horizontal="center"/>
    </xf>
    <xf numFmtId="0" fontId="48" fillId="4" borderId="4" xfId="12" applyFont="1" applyFill="1" applyBorder="1" applyAlignment="1">
      <alignment horizontal="center" vertical="center"/>
    </xf>
    <xf numFmtId="0" fontId="58" fillId="0" borderId="0" xfId="12" applyFont="1" applyAlignment="1">
      <alignment vertical="center"/>
    </xf>
    <xf numFmtId="0" fontId="48" fillId="6" borderId="4" xfId="12" applyFont="1" applyFill="1" applyBorder="1" applyAlignment="1">
      <alignment horizontal="center" vertical="center"/>
    </xf>
    <xf numFmtId="0" fontId="48" fillId="5" borderId="4" xfId="12" applyFont="1" applyFill="1" applyBorder="1" applyAlignment="1">
      <alignment horizontal="center" vertical="center"/>
    </xf>
    <xf numFmtId="0" fontId="48" fillId="0" borderId="4" xfId="12" applyFont="1" applyBorder="1" applyAlignment="1">
      <alignment horizontal="center" vertical="center"/>
    </xf>
    <xf numFmtId="0" fontId="82" fillId="0" borderId="0" xfId="12" applyFont="1"/>
    <xf numFmtId="0" fontId="36" fillId="0" borderId="0" xfId="7" applyFont="1">
      <alignment vertical="center"/>
    </xf>
    <xf numFmtId="0" fontId="15" fillId="0" borderId="0" xfId="7" applyAlignment="1">
      <alignment horizontal="center" vertical="center"/>
    </xf>
    <xf numFmtId="0" fontId="84" fillId="0" borderId="46" xfId="12" applyFont="1" applyBorder="1" applyAlignment="1">
      <alignment horizontal="center" vertical="center"/>
    </xf>
    <xf numFmtId="0" fontId="86" fillId="0" borderId="47" xfId="13" applyFont="1" applyBorder="1" applyAlignment="1" applyProtection="1">
      <alignment horizontal="center" vertical="center"/>
    </xf>
    <xf numFmtId="0" fontId="87" fillId="0" borderId="7" xfId="12" applyFont="1" applyBorder="1" applyAlignment="1">
      <alignment horizontal="center" vertical="center"/>
    </xf>
    <xf numFmtId="0" fontId="81" fillId="0" borderId="67" xfId="7" applyFont="1" applyBorder="1" applyAlignment="1">
      <alignment horizontal="center" vertical="center"/>
    </xf>
    <xf numFmtId="0" fontId="88" fillId="0" borderId="0" xfId="7" applyFont="1">
      <alignment vertical="center"/>
    </xf>
    <xf numFmtId="0" fontId="87" fillId="0" borderId="54" xfId="12" applyFont="1" applyBorder="1" applyAlignment="1">
      <alignment horizontal="center" vertical="center"/>
    </xf>
    <xf numFmtId="0" fontId="81" fillId="0" borderId="68" xfId="7" applyFont="1" applyBorder="1" applyAlignment="1">
      <alignment horizontal="center" vertical="center"/>
    </xf>
    <xf numFmtId="0" fontId="81" fillId="0" borderId="11" xfId="7" applyFont="1" applyBorder="1" applyAlignment="1">
      <alignment horizontal="left" vertical="center" indent="1"/>
    </xf>
    <xf numFmtId="0" fontId="81" fillId="0" borderId="30" xfId="7" applyFont="1" applyBorder="1">
      <alignment vertical="center"/>
    </xf>
    <xf numFmtId="0" fontId="81" fillId="0" borderId="36" xfId="7" applyFont="1" applyBorder="1" applyAlignment="1">
      <alignment horizontal="left" vertical="center" indent="1"/>
    </xf>
    <xf numFmtId="0" fontId="81" fillId="0" borderId="34" xfId="7" applyFont="1" applyBorder="1">
      <alignment vertical="center"/>
    </xf>
    <xf numFmtId="0" fontId="81" fillId="0" borderId="37" xfId="7" applyFont="1" applyBorder="1" applyAlignment="1">
      <alignment horizontal="left" vertical="center" indent="1"/>
    </xf>
    <xf numFmtId="0" fontId="81" fillId="0" borderId="39" xfId="7" applyFont="1" applyBorder="1" applyAlignment="1">
      <alignment vertical="center" wrapText="1"/>
    </xf>
    <xf numFmtId="0" fontId="82" fillId="0" borderId="0" xfId="14" applyFont="1"/>
    <xf numFmtId="0" fontId="81" fillId="0" borderId="0" xfId="15" applyFont="1">
      <alignment vertical="center"/>
    </xf>
    <xf numFmtId="0" fontId="90" fillId="0" borderId="0" xfId="16"/>
    <xf numFmtId="0" fontId="91" fillId="0" borderId="46" xfId="14" applyFont="1" applyBorder="1" applyAlignment="1">
      <alignment horizontal="center" vertical="center"/>
    </xf>
    <xf numFmtId="0" fontId="92" fillId="0" borderId="54" xfId="12" applyFont="1" applyBorder="1" applyAlignment="1">
      <alignment horizontal="center" vertical="center"/>
    </xf>
    <xf numFmtId="0" fontId="80" fillId="0" borderId="0" xfId="12" applyAlignment="1">
      <alignment horizontal="center" vertical="center"/>
    </xf>
    <xf numFmtId="0" fontId="93" fillId="0" borderId="0" xfId="7" applyFont="1" applyAlignment="1">
      <alignment horizontal="center" vertical="center"/>
    </xf>
    <xf numFmtId="0" fontId="5" fillId="0" borderId="543" xfId="12" applyFont="1" applyBorder="1" applyAlignment="1">
      <alignment horizontal="center" vertical="center"/>
    </xf>
    <xf numFmtId="0" fontId="94" fillId="0" borderId="546" xfId="12" applyFont="1" applyBorder="1" applyAlignment="1">
      <alignment horizontal="center" vertical="center"/>
    </xf>
    <xf numFmtId="0" fontId="94" fillId="0" borderId="20" xfId="12" applyFont="1" applyBorder="1" applyAlignment="1">
      <alignment horizontal="left" vertical="center"/>
    </xf>
    <xf numFmtId="0" fontId="94" fillId="0" borderId="44" xfId="12" applyFont="1" applyBorder="1" applyAlignment="1">
      <alignment horizontal="left" vertical="center"/>
    </xf>
    <xf numFmtId="0" fontId="94" fillId="0" borderId="21" xfId="12" applyFont="1" applyBorder="1" applyAlignment="1">
      <alignment horizontal="left" vertical="center"/>
    </xf>
    <xf numFmtId="0" fontId="94" fillId="0" borderId="34" xfId="12" applyFont="1" applyBorder="1" applyAlignment="1">
      <alignment horizontal="left" vertical="center"/>
    </xf>
    <xf numFmtId="0" fontId="80" fillId="0" borderId="0" xfId="12" applyAlignment="1">
      <alignment horizontal="left" vertical="top"/>
    </xf>
    <xf numFmtId="0" fontId="81" fillId="0" borderId="0" xfId="7" applyFont="1" applyAlignment="1">
      <alignment horizontal="left" vertical="top"/>
    </xf>
    <xf numFmtId="0" fontId="60" fillId="0" borderId="104" xfId="0" applyFont="1" applyBorder="1">
      <alignment vertical="center"/>
    </xf>
    <xf numFmtId="0" fontId="97" fillId="0" borderId="104" xfId="0" applyFont="1" applyBorder="1">
      <alignment vertical="center"/>
    </xf>
    <xf numFmtId="179" fontId="96" fillId="0" borderId="4" xfId="0" applyNumberFormat="1" applyFont="1" applyBorder="1" applyAlignment="1">
      <alignment horizontal="left" vertical="center"/>
    </xf>
    <xf numFmtId="179" fontId="38" fillId="0" borderId="4" xfId="0" applyNumberFormat="1" applyFont="1" applyBorder="1" applyAlignment="1">
      <alignment horizontal="left" vertical="center"/>
    </xf>
    <xf numFmtId="0" fontId="30" fillId="15" borderId="262" xfId="0" applyFont="1" applyFill="1" applyBorder="1" applyAlignment="1">
      <alignment horizontal="center" vertical="center"/>
    </xf>
    <xf numFmtId="0" fontId="30" fillId="15" borderId="265" xfId="0" applyFont="1" applyFill="1" applyBorder="1" applyAlignment="1">
      <alignment horizontal="center" vertical="center"/>
    </xf>
    <xf numFmtId="0" fontId="30" fillId="15" borderId="268" xfId="0" applyFont="1" applyFill="1" applyBorder="1" applyAlignment="1">
      <alignment horizontal="center" vertical="center"/>
    </xf>
    <xf numFmtId="206" fontId="65" fillId="15" borderId="396" xfId="3" applyNumberFormat="1" applyFont="1" applyFill="1" applyBorder="1" applyAlignment="1">
      <alignment horizontal="center" vertical="center" shrinkToFit="1"/>
    </xf>
    <xf numFmtId="206" fontId="65" fillId="15" borderId="482" xfId="3" applyNumberFormat="1" applyFont="1" applyFill="1" applyBorder="1" applyAlignment="1">
      <alignment horizontal="center" vertical="center" shrinkToFit="1"/>
    </xf>
    <xf numFmtId="206" fontId="65" fillId="15" borderId="381" xfId="3" applyNumberFormat="1" applyFont="1" applyFill="1" applyBorder="1" applyAlignment="1">
      <alignment horizontal="center" vertical="center" shrinkToFit="1"/>
    </xf>
    <xf numFmtId="0" fontId="98" fillId="2" borderId="15" xfId="0" applyFont="1" applyFill="1" applyBorder="1" applyAlignment="1">
      <alignment vertical="top" textRotation="255" shrinkToFit="1"/>
    </xf>
    <xf numFmtId="0" fontId="98" fillId="2" borderId="21" xfId="0" applyFont="1" applyFill="1" applyBorder="1" applyAlignment="1">
      <alignment vertical="top" textRotation="255" wrapText="1" shrinkToFit="1"/>
    </xf>
    <xf numFmtId="0" fontId="98" fillId="2" borderId="21" xfId="0" applyFont="1" applyFill="1" applyBorder="1" applyAlignment="1">
      <alignment horizontal="center" vertical="top" textRotation="255" wrapText="1" shrinkToFit="1"/>
    </xf>
    <xf numFmtId="0" fontId="98" fillId="2" borderId="9" xfId="0" applyFont="1" applyFill="1" applyBorder="1" applyAlignment="1">
      <alignment vertical="top" textRotation="255" shrinkToFit="1"/>
    </xf>
    <xf numFmtId="0" fontId="98" fillId="2" borderId="34" xfId="0" applyFont="1" applyFill="1" applyBorder="1" applyAlignment="1">
      <alignment vertical="top" textRotation="255" shrinkToFit="1"/>
    </xf>
    <xf numFmtId="0" fontId="98" fillId="2" borderId="15" xfId="0" applyFont="1" applyFill="1" applyBorder="1" applyAlignment="1">
      <alignment vertical="top" textRotation="255" wrapText="1" shrinkToFit="1"/>
    </xf>
    <xf numFmtId="0" fontId="30" fillId="2" borderId="21" xfId="0" applyFont="1" applyFill="1" applyBorder="1" applyAlignment="1">
      <alignment horizontal="center" vertical="center"/>
    </xf>
    <xf numFmtId="0" fontId="30" fillId="2" borderId="15" xfId="0" applyFont="1" applyFill="1" applyBorder="1" applyAlignment="1">
      <alignment horizontal="center" vertical="center"/>
    </xf>
    <xf numFmtId="0" fontId="20" fillId="17" borderId="547" xfId="3" applyFont="1" applyFill="1" applyBorder="1" applyAlignment="1">
      <alignment horizontal="center" vertical="center"/>
    </xf>
    <xf numFmtId="0" fontId="20" fillId="17" borderId="548" xfId="3" applyFont="1" applyFill="1" applyBorder="1" applyAlignment="1">
      <alignment horizontal="center" vertical="center"/>
    </xf>
    <xf numFmtId="0" fontId="20" fillId="17" borderId="548" xfId="3" applyFont="1" applyFill="1" applyBorder="1" applyAlignment="1">
      <alignment vertical="center"/>
    </xf>
    <xf numFmtId="0" fontId="30" fillId="2" borderId="535" xfId="0" applyFont="1" applyFill="1" applyBorder="1" applyAlignment="1">
      <alignment horizontal="left" vertical="center"/>
    </xf>
    <xf numFmtId="188" fontId="30" fillId="0" borderId="0" xfId="0" applyNumberFormat="1" applyFont="1" applyAlignment="1">
      <alignment horizontal="right" vertical="center" shrinkToFit="1"/>
    </xf>
    <xf numFmtId="0" fontId="30" fillId="0" borderId="0" xfId="0" applyFont="1" applyAlignment="1">
      <alignment horizontal="right" vertical="center" shrinkToFit="1"/>
    </xf>
    <xf numFmtId="0" fontId="30" fillId="0" borderId="39" xfId="0" applyFont="1" applyBorder="1" applyAlignment="1">
      <alignment horizontal="center" vertical="center"/>
    </xf>
    <xf numFmtId="0" fontId="30" fillId="0" borderId="2" xfId="0" applyFont="1" applyBorder="1" applyAlignment="1">
      <alignment horizontal="center" vertical="center"/>
    </xf>
    <xf numFmtId="0" fontId="30" fillId="0" borderId="542" xfId="0" applyFont="1" applyBorder="1">
      <alignment vertical="center"/>
    </xf>
    <xf numFmtId="14" fontId="30" fillId="0" borderId="18" xfId="0" applyNumberFormat="1" applyFont="1" applyBorder="1" applyAlignment="1">
      <alignment vertical="center" shrinkToFit="1"/>
    </xf>
    <xf numFmtId="0" fontId="30" fillId="0" borderId="3" xfId="0" applyFont="1" applyBorder="1">
      <alignment vertical="center"/>
    </xf>
    <xf numFmtId="0" fontId="70" fillId="2" borderId="0" xfId="3" applyFont="1" applyFill="1" applyAlignment="1">
      <alignment vertical="center"/>
    </xf>
    <xf numFmtId="0" fontId="30" fillId="2" borderId="6" xfId="0" applyFont="1" applyFill="1" applyBorder="1" applyAlignment="1">
      <alignment horizontal="center" vertical="center"/>
    </xf>
    <xf numFmtId="0" fontId="30" fillId="18" borderId="4" xfId="0" applyFont="1" applyFill="1" applyBorder="1" applyAlignment="1">
      <alignment horizontal="center" vertical="center"/>
    </xf>
    <xf numFmtId="0" fontId="30" fillId="3" borderId="4" xfId="0" applyFont="1" applyFill="1" applyBorder="1">
      <alignment vertical="center"/>
    </xf>
    <xf numFmtId="0" fontId="30" fillId="3" borderId="6" xfId="0" applyFont="1" applyFill="1" applyBorder="1" applyAlignment="1">
      <alignment horizontal="center" vertical="center"/>
    </xf>
    <xf numFmtId="0" fontId="30" fillId="3" borderId="0" xfId="0" applyFont="1" applyFill="1" applyAlignment="1">
      <alignment horizontal="center" vertical="center" shrinkToFit="1"/>
    </xf>
    <xf numFmtId="0" fontId="13" fillId="3" borderId="6" xfId="0" applyFont="1" applyFill="1" applyBorder="1" applyAlignment="1">
      <alignment horizontal="center" vertical="center" shrinkToFit="1"/>
    </xf>
    <xf numFmtId="0" fontId="0" fillId="0" borderId="4" xfId="0" applyBorder="1" applyAlignment="1">
      <alignment horizontal="left" vertical="center"/>
    </xf>
    <xf numFmtId="0" fontId="99" fillId="0" borderId="46" xfId="14" applyFont="1" applyBorder="1" applyAlignment="1">
      <alignment horizontal="center" vertical="center"/>
    </xf>
    <xf numFmtId="0" fontId="100" fillId="0" borderId="30" xfId="13" applyFont="1" applyBorder="1" applyAlignment="1" applyProtection="1">
      <alignment horizontal="center" vertical="center"/>
    </xf>
    <xf numFmtId="0" fontId="0" fillId="0" borderId="7" xfId="0" applyBorder="1" applyAlignment="1">
      <alignment horizontal="center" vertical="center"/>
    </xf>
    <xf numFmtId="0" fontId="93" fillId="0" borderId="67" xfId="7" applyFont="1" applyBorder="1" applyAlignment="1">
      <alignment horizontal="center" vertical="center" shrinkToFit="1"/>
    </xf>
    <xf numFmtId="0" fontId="0" fillId="0" borderId="0" xfId="0" applyAlignment="1">
      <alignment horizontal="center" vertical="center"/>
    </xf>
    <xf numFmtId="0" fontId="33" fillId="0" borderId="0" xfId="14" applyFont="1" applyAlignment="1">
      <alignment horizontal="left" vertical="center"/>
    </xf>
    <xf numFmtId="0" fontId="101" fillId="0" borderId="0" xfId="13" applyFont="1" applyBorder="1" applyAlignment="1" applyProtection="1">
      <alignment horizontal="center" vertical="center"/>
    </xf>
    <xf numFmtId="0" fontId="82" fillId="0" borderId="0" xfId="0" applyFont="1" applyAlignment="1"/>
    <xf numFmtId="0" fontId="0" fillId="0" borderId="0" xfId="0" applyAlignment="1"/>
    <xf numFmtId="0" fontId="36" fillId="0" borderId="0" xfId="7" applyFont="1" applyAlignment="1"/>
    <xf numFmtId="0" fontId="102" fillId="0" borderId="0" xfId="7" applyFont="1" applyAlignment="1">
      <alignment horizontal="center" vertical="center"/>
    </xf>
    <xf numFmtId="0" fontId="101" fillId="0" borderId="46" xfId="0" applyFont="1" applyBorder="1" applyAlignment="1">
      <alignment horizontal="center" vertical="center"/>
    </xf>
    <xf numFmtId="0" fontId="100" fillId="0" borderId="47" xfId="13" applyFont="1" applyBorder="1" applyAlignment="1" applyProtection="1">
      <alignment horizontal="center" vertical="center"/>
    </xf>
    <xf numFmtId="0" fontId="81" fillId="0" borderId="67" xfId="7" applyFont="1" applyBorder="1" applyAlignment="1">
      <alignment horizontal="center" vertical="center" shrinkToFit="1"/>
    </xf>
    <xf numFmtId="0" fontId="0" fillId="0" borderId="51" xfId="0" applyBorder="1" applyAlignment="1">
      <alignment horizontal="center" vertical="center"/>
    </xf>
    <xf numFmtId="0" fontId="36" fillId="0" borderId="49" xfId="7" applyFont="1" applyBorder="1" applyAlignment="1">
      <alignment horizontal="center" vertical="center" shrinkToFit="1"/>
    </xf>
    <xf numFmtId="0" fontId="0" fillId="0" borderId="54" xfId="0" applyBorder="1" applyAlignment="1">
      <alignment horizontal="center" vertical="center"/>
    </xf>
    <xf numFmtId="0" fontId="69" fillId="0" borderId="0" xfId="7" applyFont="1">
      <alignment vertical="center"/>
    </xf>
    <xf numFmtId="0" fontId="103" fillId="0" borderId="0" xfId="0" applyFont="1" applyAlignment="1">
      <alignment horizontal="left" vertical="center"/>
    </xf>
    <xf numFmtId="0" fontId="0" fillId="0" borderId="0" xfId="0" applyAlignment="1">
      <alignment horizontal="left" vertical="center" wrapText="1"/>
    </xf>
    <xf numFmtId="0" fontId="0" fillId="0" borderId="13" xfId="0" applyBorder="1">
      <alignment vertical="center"/>
    </xf>
    <xf numFmtId="0" fontId="104" fillId="0" borderId="4" xfId="0" applyFont="1" applyBorder="1" applyAlignment="1">
      <alignment horizontal="center" vertical="center"/>
    </xf>
    <xf numFmtId="0" fontId="104" fillId="0" borderId="6" xfId="0" applyFont="1" applyBorder="1" applyAlignment="1">
      <alignment horizontal="center" vertical="center"/>
    </xf>
    <xf numFmtId="0" fontId="77" fillId="0" borderId="0" xfId="0" applyFont="1" applyAlignment="1">
      <alignment horizontal="center" vertical="center"/>
    </xf>
    <xf numFmtId="0" fontId="33" fillId="2" borderId="0" xfId="0" applyFont="1" applyFill="1" applyAlignment="1">
      <alignment vertical="center" shrinkToFit="1"/>
    </xf>
    <xf numFmtId="0" fontId="105" fillId="0" borderId="0" xfId="0" applyFont="1">
      <alignment vertical="center"/>
    </xf>
    <xf numFmtId="0" fontId="90" fillId="18" borderId="552" xfId="0" applyFont="1" applyFill="1" applyBorder="1" applyAlignment="1">
      <alignment vertical="center" shrinkToFit="1"/>
    </xf>
    <xf numFmtId="0" fontId="90" fillId="18" borderId="553" xfId="0" applyFont="1" applyFill="1" applyBorder="1" applyAlignment="1">
      <alignment vertical="center" shrinkToFit="1"/>
    </xf>
    <xf numFmtId="0" fontId="90" fillId="18" borderId="554" xfId="0" applyFont="1" applyFill="1" applyBorder="1" applyAlignment="1">
      <alignment vertical="center" shrinkToFit="1"/>
    </xf>
    <xf numFmtId="0" fontId="30" fillId="0" borderId="549" xfId="0" applyFont="1" applyBorder="1" applyAlignment="1">
      <alignment horizontal="center" vertical="center" shrinkToFit="1"/>
    </xf>
    <xf numFmtId="0" fontId="30" fillId="0" borderId="550" xfId="0" applyFont="1" applyBorder="1" applyAlignment="1">
      <alignment horizontal="center" vertical="center" shrinkToFit="1"/>
    </xf>
    <xf numFmtId="0" fontId="30" fillId="0" borderId="551" xfId="0" applyFont="1" applyBorder="1" applyAlignment="1">
      <alignment horizontal="center" vertical="center" shrinkToFit="1"/>
    </xf>
    <xf numFmtId="0" fontId="30" fillId="0" borderId="46" xfId="0" applyFont="1" applyBorder="1">
      <alignment vertical="center"/>
    </xf>
    <xf numFmtId="0" fontId="30" fillId="0" borderId="123" xfId="0" applyFont="1" applyBorder="1">
      <alignment vertical="center"/>
    </xf>
    <xf numFmtId="0" fontId="30" fillId="0" borderId="26" xfId="0" applyFont="1" applyBorder="1">
      <alignment vertical="center"/>
    </xf>
    <xf numFmtId="0" fontId="30" fillId="0" borderId="129" xfId="0" applyFont="1" applyBorder="1">
      <alignment vertical="center"/>
    </xf>
    <xf numFmtId="0" fontId="30" fillId="0" borderId="51" xfId="0" applyFont="1" applyBorder="1" applyAlignment="1">
      <alignment vertical="center" shrinkToFit="1"/>
    </xf>
    <xf numFmtId="0" fontId="30" fillId="0" borderId="15" xfId="0" applyFont="1" applyBorder="1" applyAlignment="1">
      <alignment vertical="center" shrinkToFit="1"/>
    </xf>
    <xf numFmtId="0" fontId="30" fillId="0" borderId="9" xfId="0" applyFont="1" applyBorder="1" applyAlignment="1">
      <alignment vertical="center" shrinkToFit="1"/>
    </xf>
    <xf numFmtId="0" fontId="30" fillId="0" borderId="407" xfId="0" applyFont="1" applyBorder="1" applyAlignment="1">
      <alignment vertical="center" shrinkToFit="1"/>
    </xf>
    <xf numFmtId="0" fontId="30" fillId="0" borderId="34" xfId="0" applyFont="1" applyBorder="1" applyAlignment="1">
      <alignment vertical="center" shrinkToFit="1"/>
    </xf>
    <xf numFmtId="0" fontId="13" fillId="3" borderId="6" xfId="0" applyFont="1" applyFill="1" applyBorder="1" applyAlignment="1" applyProtection="1">
      <alignment horizontal="center" vertical="center"/>
      <protection locked="0"/>
    </xf>
    <xf numFmtId="0" fontId="30" fillId="3" borderId="6" xfId="0" applyFont="1" applyFill="1" applyBorder="1" applyAlignment="1" applyProtection="1">
      <alignment horizontal="center" vertical="center"/>
      <protection locked="0"/>
    </xf>
    <xf numFmtId="0" fontId="13" fillId="2" borderId="17" xfId="0" applyFont="1" applyFill="1" applyBorder="1" applyAlignment="1">
      <alignment horizontal="center" vertical="center" wrapText="1"/>
    </xf>
    <xf numFmtId="0" fontId="13" fillId="0" borderId="4" xfId="0" applyFont="1" applyBorder="1" applyAlignment="1">
      <alignment horizontal="center" vertical="center"/>
    </xf>
    <xf numFmtId="0" fontId="10" fillId="0" borderId="4" xfId="0" applyFont="1" applyBorder="1" applyAlignment="1">
      <alignment horizontal="center" vertical="center"/>
    </xf>
    <xf numFmtId="0" fontId="13" fillId="2" borderId="17" xfId="0" applyFont="1" applyFill="1" applyBorder="1" applyAlignment="1">
      <alignment horizontal="center" vertical="center" wrapText="1"/>
    </xf>
    <xf numFmtId="0" fontId="10" fillId="0" borderId="4" xfId="0" applyFont="1" applyBorder="1" applyAlignment="1">
      <alignment horizontal="center" vertical="center"/>
    </xf>
    <xf numFmtId="0" fontId="30" fillId="2" borderId="398" xfId="0" applyFont="1" applyFill="1" applyBorder="1" applyAlignment="1">
      <alignment horizontal="center" vertical="center" shrinkToFit="1"/>
    </xf>
    <xf numFmtId="0" fontId="52" fillId="2" borderId="410" xfId="0" applyFont="1" applyFill="1" applyBorder="1" applyAlignment="1">
      <alignment horizontal="center" vertical="center" shrinkToFit="1"/>
    </xf>
    <xf numFmtId="0" fontId="26" fillId="0" borderId="309" xfId="0" applyFont="1" applyBorder="1" applyAlignment="1">
      <alignment horizontal="center" vertical="center" shrinkToFit="1"/>
    </xf>
    <xf numFmtId="0" fontId="30" fillId="2" borderId="320"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30" fillId="2" borderId="0" xfId="0" applyFont="1" applyFill="1" applyBorder="1" applyAlignment="1">
      <alignment horizontal="center" vertical="center"/>
    </xf>
    <xf numFmtId="0" fontId="10" fillId="2" borderId="0" xfId="0" applyFont="1" applyFill="1" applyBorder="1" applyAlignment="1">
      <alignment horizontal="left" vertical="center"/>
    </xf>
    <xf numFmtId="0" fontId="13" fillId="0" borderId="141" xfId="0" applyFont="1" applyBorder="1" applyAlignment="1">
      <alignment horizontal="center" vertical="center"/>
    </xf>
    <xf numFmtId="0" fontId="13" fillId="2" borderId="556" xfId="0" applyFont="1" applyFill="1" applyBorder="1" applyAlignment="1">
      <alignment vertical="center" wrapText="1"/>
    </xf>
    <xf numFmtId="0" fontId="13" fillId="2" borderId="555" xfId="0" applyFont="1" applyFill="1" applyBorder="1" applyAlignment="1">
      <alignment vertical="center" wrapText="1"/>
    </xf>
    <xf numFmtId="0" fontId="30" fillId="2" borderId="395" xfId="0" applyFont="1" applyFill="1" applyBorder="1" applyAlignment="1">
      <alignment vertical="center"/>
    </xf>
    <xf numFmtId="0" fontId="30" fillId="2" borderId="355" xfId="0" applyFont="1" applyFill="1" applyBorder="1" applyAlignment="1">
      <alignment vertical="center"/>
    </xf>
    <xf numFmtId="0" fontId="30" fillId="2" borderId="391" xfId="0" applyFont="1" applyFill="1" applyBorder="1" applyAlignment="1">
      <alignment vertical="center"/>
    </xf>
    <xf numFmtId="0" fontId="30" fillId="2" borderId="266" xfId="0" applyFont="1" applyFill="1" applyBorder="1" applyAlignment="1">
      <alignment horizontal="center" vertical="center" shrinkToFit="1"/>
    </xf>
    <xf numFmtId="0" fontId="10" fillId="2" borderId="15" xfId="0" applyFont="1" applyFill="1" applyBorder="1" applyAlignment="1">
      <alignment vertical="top" textRotation="255" shrinkToFit="1"/>
    </xf>
    <xf numFmtId="0" fontId="51" fillId="0" borderId="0" xfId="0" applyFont="1">
      <alignment vertical="center"/>
    </xf>
    <xf numFmtId="0" fontId="72" fillId="0" borderId="4" xfId="0" applyFont="1" applyBorder="1" applyAlignment="1">
      <alignment horizontal="left" vertical="center" wrapText="1" shrinkToFit="1"/>
    </xf>
    <xf numFmtId="0" fontId="21" fillId="0" borderId="0" xfId="8" applyFont="1" applyBorder="1">
      <alignment vertical="center"/>
    </xf>
    <xf numFmtId="0" fontId="2" fillId="0" borderId="0" xfId="3" applyBorder="1"/>
    <xf numFmtId="0" fontId="21" fillId="0" borderId="561" xfId="8" applyFont="1" applyBorder="1">
      <alignment vertical="center"/>
    </xf>
    <xf numFmtId="0" fontId="2" fillId="0" borderId="561" xfId="3" applyBorder="1"/>
    <xf numFmtId="0" fontId="2" fillId="0" borderId="15" xfId="3" applyBorder="1"/>
    <xf numFmtId="0" fontId="20" fillId="0" borderId="0" xfId="8" applyFont="1" applyBorder="1">
      <alignment vertical="center"/>
    </xf>
    <xf numFmtId="0" fontId="20" fillId="0" borderId="10" xfId="8" applyFont="1" applyBorder="1">
      <alignment vertical="center"/>
    </xf>
    <xf numFmtId="0" fontId="2" fillId="0" borderId="13" xfId="3" applyBorder="1"/>
    <xf numFmtId="0" fontId="13" fillId="0" borderId="4" xfId="0" applyFont="1" applyBorder="1" applyAlignment="1">
      <alignment horizontal="center" vertical="center"/>
    </xf>
    <xf numFmtId="0" fontId="13" fillId="2" borderId="0" xfId="0" applyFont="1" applyFill="1" applyAlignment="1">
      <alignment horizontal="center" vertical="center"/>
    </xf>
    <xf numFmtId="0" fontId="13" fillId="2" borderId="0" xfId="0" applyFont="1" applyFill="1" applyAlignment="1">
      <alignment horizontal="left" vertical="center" wrapText="1"/>
    </xf>
    <xf numFmtId="0" fontId="13" fillId="2" borderId="21" xfId="0" applyFont="1" applyFill="1" applyBorder="1" applyAlignment="1">
      <alignment horizontal="center" vertical="center"/>
    </xf>
    <xf numFmtId="0" fontId="13" fillId="0" borderId="4" xfId="0" applyFont="1" applyBorder="1" applyAlignment="1">
      <alignment horizontal="center" vertical="center"/>
    </xf>
    <xf numFmtId="0" fontId="13" fillId="2" borderId="535" xfId="0" applyFont="1" applyFill="1" applyBorder="1" applyAlignment="1">
      <alignment horizontal="center" vertical="center" wrapText="1"/>
    </xf>
    <xf numFmtId="0" fontId="13" fillId="2" borderId="535" xfId="0" applyFont="1" applyFill="1" applyBorder="1" applyAlignment="1">
      <alignment horizontal="center" vertical="center"/>
    </xf>
    <xf numFmtId="0" fontId="13" fillId="2" borderId="503" xfId="0" applyFont="1" applyFill="1" applyBorder="1" applyAlignment="1">
      <alignment vertical="center" wrapText="1"/>
    </xf>
    <xf numFmtId="0" fontId="13" fillId="2" borderId="20" xfId="0" applyFont="1" applyFill="1" applyBorder="1" applyAlignment="1">
      <alignment vertical="center" wrapText="1"/>
    </xf>
    <xf numFmtId="0" fontId="30" fillId="2" borderId="10" xfId="0" applyFont="1" applyFill="1" applyBorder="1" applyAlignment="1">
      <alignment horizontal="center" vertical="center"/>
    </xf>
    <xf numFmtId="0" fontId="30" fillId="2" borderId="0" xfId="0" applyFont="1" applyFill="1" applyAlignment="1">
      <alignment horizontal="center" vertical="center"/>
    </xf>
    <xf numFmtId="0" fontId="30" fillId="2" borderId="13" xfId="0" applyFont="1" applyFill="1" applyBorder="1" applyAlignment="1">
      <alignment horizontal="center" vertical="center"/>
    </xf>
    <xf numFmtId="0" fontId="30" fillId="2" borderId="405" xfId="0" applyFont="1" applyFill="1" applyBorder="1" applyAlignment="1">
      <alignment horizontal="center" vertical="center" shrinkToFit="1"/>
    </xf>
    <xf numFmtId="0" fontId="13" fillId="2" borderId="190" xfId="0" applyFont="1" applyFill="1" applyBorder="1" applyAlignment="1">
      <alignment horizontal="center" vertical="center" wrapText="1"/>
    </xf>
    <xf numFmtId="0" fontId="52" fillId="2" borderId="406" xfId="0" applyFont="1" applyFill="1" applyBorder="1" applyAlignment="1">
      <alignment horizontal="center" vertical="center" shrinkToFit="1"/>
    </xf>
    <xf numFmtId="0" fontId="30" fillId="2" borderId="15" xfId="0" applyFont="1" applyFill="1" applyBorder="1" applyAlignment="1">
      <alignment horizontal="center" vertical="center" shrinkToFit="1"/>
    </xf>
    <xf numFmtId="0" fontId="26" fillId="0" borderId="364" xfId="0" applyFont="1" applyBorder="1" applyAlignment="1">
      <alignment horizontal="center" vertical="center" shrinkToFit="1"/>
    </xf>
    <xf numFmtId="0" fontId="26" fillId="0" borderId="309" xfId="0" applyFont="1" applyBorder="1" applyAlignment="1">
      <alignment horizontal="center" vertical="center" shrinkToFit="1"/>
    </xf>
    <xf numFmtId="0" fontId="26" fillId="0" borderId="421" xfId="0" applyFont="1" applyBorder="1" applyAlignment="1">
      <alignment horizontal="center" vertical="center" shrinkToFit="1"/>
    </xf>
    <xf numFmtId="0" fontId="30" fillId="0" borderId="4" xfId="0" applyFont="1" applyBorder="1" applyAlignment="1">
      <alignment horizontal="center" vertical="center" shrinkToFit="1"/>
    </xf>
    <xf numFmtId="214" fontId="13" fillId="2" borderId="192" xfId="1" applyNumberFormat="1"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3" fillId="2" borderId="422" xfId="0" applyFont="1" applyFill="1" applyBorder="1" applyAlignment="1">
      <alignment vertical="center" wrapText="1"/>
    </xf>
    <xf numFmtId="0" fontId="13" fillId="2" borderId="0" xfId="0" applyFont="1" applyFill="1" applyBorder="1" applyAlignment="1">
      <alignment vertical="center" wrapText="1"/>
    </xf>
    <xf numFmtId="0" fontId="107" fillId="0" borderId="0" xfId="0" applyFont="1">
      <alignment vertical="center"/>
    </xf>
    <xf numFmtId="0" fontId="107" fillId="19" borderId="0" xfId="0" applyFont="1" applyFill="1">
      <alignment vertical="center"/>
    </xf>
    <xf numFmtId="0" fontId="104" fillId="0" borderId="0" xfId="0" applyFont="1">
      <alignment vertical="center"/>
    </xf>
    <xf numFmtId="0" fontId="30" fillId="2" borderId="422" xfId="0" applyFont="1" applyFill="1" applyBorder="1" applyAlignment="1">
      <alignment horizontal="center" vertical="center" shrinkToFit="1"/>
    </xf>
    <xf numFmtId="0" fontId="30" fillId="0" borderId="535" xfId="0" applyFont="1" applyBorder="1" applyAlignment="1">
      <alignment horizontal="center" vertical="center" shrinkToFit="1"/>
    </xf>
    <xf numFmtId="0" fontId="30" fillId="0" borderId="98" xfId="0" applyFont="1" applyBorder="1" applyAlignment="1">
      <alignment horizontal="center" vertical="center" shrinkToFit="1"/>
    </xf>
    <xf numFmtId="0" fontId="30" fillId="0" borderId="364" xfId="0" applyFont="1" applyBorder="1" applyAlignment="1">
      <alignment horizontal="center" vertical="center" shrinkToFit="1"/>
    </xf>
    <xf numFmtId="0" fontId="30" fillId="0" borderId="561" xfId="0" applyFont="1" applyBorder="1" applyAlignment="1">
      <alignment horizontal="center" vertical="center" shrinkToFit="1"/>
    </xf>
    <xf numFmtId="0" fontId="30" fillId="0" borderId="7" xfId="0" applyFont="1" applyBorder="1" applyAlignment="1">
      <alignment horizontal="center" vertical="center" shrinkToFit="1"/>
    </xf>
    <xf numFmtId="0" fontId="30" fillId="0" borderId="0" xfId="0" applyFont="1" applyBorder="1" applyAlignment="1">
      <alignment horizontal="center" vertical="center" shrinkToFit="1"/>
    </xf>
    <xf numFmtId="0" fontId="46" fillId="2" borderId="416" xfId="0" applyFont="1" applyFill="1" applyBorder="1" applyAlignment="1">
      <alignment horizontal="center" vertical="center" shrinkToFit="1"/>
    </xf>
    <xf numFmtId="0" fontId="46" fillId="2" borderId="236" xfId="0" applyFont="1" applyFill="1" applyBorder="1" applyAlignment="1">
      <alignment horizontal="center" vertical="center" shrinkToFit="1"/>
    </xf>
    <xf numFmtId="2" fontId="13" fillId="2" borderId="192" xfId="1" applyNumberFormat="1" applyFont="1" applyFill="1" applyBorder="1" applyAlignment="1">
      <alignment vertical="center" shrinkToFit="1"/>
    </xf>
    <xf numFmtId="2" fontId="13" fillId="2" borderId="167" xfId="1" applyNumberFormat="1" applyFont="1" applyFill="1" applyBorder="1" applyAlignment="1">
      <alignment vertical="center" shrinkToFit="1"/>
    </xf>
    <xf numFmtId="2" fontId="13" fillId="2" borderId="152" xfId="1" applyNumberFormat="1" applyFont="1" applyFill="1" applyBorder="1" applyAlignment="1">
      <alignment vertical="center" shrinkToFit="1"/>
    </xf>
    <xf numFmtId="0" fontId="10" fillId="2" borderId="122" xfId="0" applyFont="1" applyFill="1" applyBorder="1" applyAlignment="1">
      <alignment vertical="center" textRotation="255" shrinkToFit="1"/>
    </xf>
    <xf numFmtId="0" fontId="10" fillId="2" borderId="562" xfId="0" applyFont="1" applyFill="1" applyBorder="1" applyAlignment="1">
      <alignment horizontal="center" vertical="center"/>
    </xf>
    <xf numFmtId="0" fontId="98" fillId="2" borderId="563" xfId="0" applyFont="1" applyFill="1" applyBorder="1" applyAlignment="1">
      <alignment horizontal="center" vertical="top" textRotation="255"/>
    </xf>
    <xf numFmtId="0" fontId="10" fillId="2" borderId="564" xfId="0" applyFont="1" applyFill="1" applyBorder="1" applyAlignment="1">
      <alignment horizontal="center" vertical="center" textRotation="255"/>
    </xf>
    <xf numFmtId="0" fontId="10" fillId="6" borderId="336" xfId="0" applyFont="1" applyFill="1" applyBorder="1" applyAlignment="1" applyProtection="1">
      <alignment horizontal="center" vertical="center" shrinkToFit="1"/>
      <protection locked="0"/>
    </xf>
    <xf numFmtId="2" fontId="13" fillId="0" borderId="236" xfId="1" applyNumberFormat="1" applyFont="1" applyFill="1" applyBorder="1" applyAlignment="1">
      <alignment vertical="center" shrinkToFit="1"/>
    </xf>
    <xf numFmtId="2" fontId="13" fillId="0" borderId="167" xfId="4" applyNumberFormat="1" applyFont="1" applyFill="1" applyBorder="1" applyAlignment="1" applyProtection="1">
      <alignment horizontal="right" vertical="center" shrinkToFit="1"/>
    </xf>
    <xf numFmtId="0" fontId="20" fillId="20" borderId="19" xfId="3" applyFont="1" applyFill="1" applyBorder="1" applyAlignment="1">
      <alignment vertical="center"/>
    </xf>
    <xf numFmtId="14" fontId="72" fillId="0" borderId="4" xfId="0" applyNumberFormat="1" applyFont="1" applyBorder="1">
      <alignment vertical="center"/>
    </xf>
    <xf numFmtId="2" fontId="72" fillId="0" borderId="4" xfId="0" applyNumberFormat="1" applyFont="1" applyBorder="1" applyAlignment="1">
      <alignment horizontal="center" vertical="center"/>
    </xf>
    <xf numFmtId="0" fontId="72" fillId="0" borderId="4" xfId="0" applyFont="1" applyBorder="1" applyAlignment="1">
      <alignment horizontal="center" vertical="center" shrinkToFit="1"/>
    </xf>
    <xf numFmtId="0" fontId="108" fillId="0" borderId="0" xfId="7" applyFont="1">
      <alignment vertical="center"/>
    </xf>
    <xf numFmtId="0" fontId="21" fillId="8" borderId="21" xfId="3" applyFont="1" applyFill="1" applyBorder="1" applyAlignment="1">
      <alignment horizontal="center" vertical="center"/>
    </xf>
    <xf numFmtId="0" fontId="21" fillId="8" borderId="15" xfId="3" applyFont="1" applyFill="1" applyBorder="1" applyAlignment="1">
      <alignment horizontal="center" vertical="center"/>
    </xf>
    <xf numFmtId="0" fontId="20" fillId="8" borderId="17" xfId="3" applyFont="1" applyFill="1" applyBorder="1" applyAlignment="1">
      <alignment horizontal="center" vertical="center"/>
    </xf>
    <xf numFmtId="0" fontId="20" fillId="8" borderId="18" xfId="3" applyFont="1" applyFill="1" applyBorder="1" applyAlignment="1">
      <alignment horizontal="center" vertical="center"/>
    </xf>
    <xf numFmtId="0" fontId="20" fillId="8" borderId="93" xfId="3" applyFont="1" applyFill="1" applyBorder="1" applyAlignment="1">
      <alignment horizontal="center" vertical="center"/>
    </xf>
    <xf numFmtId="0" fontId="20" fillId="8" borderId="101" xfId="3" applyFont="1" applyFill="1" applyBorder="1" applyAlignment="1">
      <alignment horizontal="center" vertical="center" shrinkToFit="1"/>
    </xf>
    <xf numFmtId="0" fontId="20" fillId="8" borderId="102" xfId="3" applyFont="1" applyFill="1" applyBorder="1" applyAlignment="1">
      <alignment horizontal="center" vertical="center" shrinkToFit="1"/>
    </xf>
    <xf numFmtId="0" fontId="21" fillId="8" borderId="16" xfId="3" applyFont="1" applyFill="1" applyBorder="1" applyAlignment="1">
      <alignment horizontal="center" vertical="center" wrapText="1"/>
    </xf>
    <xf numFmtId="0" fontId="21" fillId="8" borderId="13" xfId="3" applyFont="1" applyFill="1" applyBorder="1" applyAlignment="1">
      <alignment horizontal="center" vertical="center" wrapText="1"/>
    </xf>
    <xf numFmtId="0" fontId="5" fillId="3" borderId="19" xfId="3" applyFont="1" applyFill="1" applyBorder="1" applyAlignment="1">
      <alignment horizontal="center" vertical="center"/>
    </xf>
    <xf numFmtId="0" fontId="5" fillId="3" borderId="16" xfId="3" applyFont="1" applyFill="1" applyBorder="1" applyAlignment="1">
      <alignment horizontal="center" vertical="center"/>
    </xf>
    <xf numFmtId="0" fontId="5" fillId="13" borderId="19" xfId="3" applyFont="1" applyFill="1" applyBorder="1" applyAlignment="1" applyProtection="1">
      <alignment horizontal="center" vertical="center"/>
      <protection locked="0"/>
    </xf>
    <xf numFmtId="0" fontId="5" fillId="13" borderId="16" xfId="3" applyFont="1" applyFill="1" applyBorder="1" applyAlignment="1" applyProtection="1">
      <alignment horizontal="center" vertical="center"/>
      <protection locked="0"/>
    </xf>
    <xf numFmtId="0" fontId="94" fillId="0" borderId="21" xfId="12" applyFont="1" applyBorder="1" applyAlignment="1">
      <alignment horizontal="left" vertical="center"/>
    </xf>
    <xf numFmtId="0" fontId="94" fillId="0" borderId="34" xfId="12" applyFont="1" applyBorder="1" applyAlignment="1">
      <alignment horizontal="left" vertical="center"/>
    </xf>
    <xf numFmtId="0" fontId="94" fillId="0" borderId="48" xfId="12" applyFont="1" applyBorder="1" applyAlignment="1">
      <alignment horizontal="center" vertical="center"/>
    </xf>
    <xf numFmtId="0" fontId="94" fillId="0" borderId="51" xfId="12" applyFont="1" applyBorder="1" applyAlignment="1">
      <alignment horizontal="center" vertical="center"/>
    </xf>
    <xf numFmtId="0" fontId="94" fillId="0" borderId="54" xfId="12" applyFont="1" applyBorder="1" applyAlignment="1">
      <alignment horizontal="center" vertical="center"/>
    </xf>
    <xf numFmtId="0" fontId="94" fillId="0" borderId="56" xfId="12" applyFont="1" applyBorder="1" applyAlignment="1">
      <alignment horizontal="left" vertical="top" wrapText="1"/>
    </xf>
    <xf numFmtId="0" fontId="94" fillId="0" borderId="39" xfId="12" applyFont="1" applyBorder="1" applyAlignment="1">
      <alignment horizontal="left" vertical="top"/>
    </xf>
    <xf numFmtId="0" fontId="5" fillId="0" borderId="544" xfId="12" applyFont="1" applyBorder="1" applyAlignment="1">
      <alignment horizontal="center" vertical="center"/>
    </xf>
    <xf numFmtId="0" fontId="5" fillId="0" borderId="545" xfId="12" applyFont="1" applyBorder="1" applyAlignment="1">
      <alignment horizontal="center" vertical="center"/>
    </xf>
    <xf numFmtId="0" fontId="95" fillId="0" borderId="20" xfId="12" applyFont="1" applyBorder="1" applyAlignment="1">
      <alignment horizontal="left" vertical="center" wrapText="1"/>
    </xf>
    <xf numFmtId="0" fontId="95" fillId="0" borderId="44" xfId="12" applyFont="1" applyBorder="1" applyAlignment="1">
      <alignment horizontal="left" vertical="center" wrapText="1"/>
    </xf>
    <xf numFmtId="0" fontId="94" fillId="0" borderId="7" xfId="12" applyFont="1" applyBorder="1" applyAlignment="1">
      <alignment horizontal="center" vertical="center"/>
    </xf>
    <xf numFmtId="0" fontId="94" fillId="0" borderId="535" xfId="12" applyFont="1" applyBorder="1" applyAlignment="1">
      <alignment horizontal="left" vertical="center"/>
    </xf>
    <xf numFmtId="0" fontId="94" fillId="0" borderId="43" xfId="12" applyFont="1" applyBorder="1" applyAlignment="1">
      <alignment horizontal="left"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90" fillId="2" borderId="49" xfId="0" applyFont="1" applyFill="1" applyBorder="1" applyAlignment="1">
      <alignment horizontal="center" vertical="center" wrapText="1"/>
    </xf>
    <xf numFmtId="0" fontId="90" fillId="2" borderId="127" xfId="0" applyFont="1" applyFill="1" applyBorder="1" applyAlignment="1">
      <alignment horizontal="center" vertical="center" wrapText="1"/>
    </xf>
    <xf numFmtId="0" fontId="90" fillId="2" borderId="50" xfId="0" applyFont="1" applyFill="1" applyBorder="1" applyAlignment="1">
      <alignment horizontal="center" vertical="center" wrapText="1"/>
    </xf>
    <xf numFmtId="0" fontId="0" fillId="0" borderId="180" xfId="0" applyBorder="1" applyAlignment="1">
      <alignment horizontal="center" vertical="center"/>
    </xf>
    <xf numFmtId="0" fontId="0" fillId="0" borderId="134" xfId="0" applyBorder="1" applyAlignment="1">
      <alignment horizontal="center" vertical="center"/>
    </xf>
    <xf numFmtId="0" fontId="0" fillId="0" borderId="158" xfId="0" applyBorder="1" applyAlignment="1">
      <alignment horizontal="center" vertical="center"/>
    </xf>
    <xf numFmtId="0" fontId="13" fillId="0" borderId="4" xfId="0" applyFont="1" applyBorder="1" applyAlignment="1">
      <alignment horizontal="center" vertical="center"/>
    </xf>
    <xf numFmtId="0" fontId="13" fillId="2" borderId="20"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561"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64" xfId="0" applyFont="1" applyFill="1" applyBorder="1" applyAlignment="1">
      <alignment horizontal="center" vertical="center"/>
    </xf>
    <xf numFmtId="0" fontId="13" fillId="2" borderId="65"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0" xfId="0" applyFont="1" applyFill="1" applyBorder="1" applyAlignment="1">
      <alignment vertical="center" wrapText="1"/>
    </xf>
    <xf numFmtId="0" fontId="13" fillId="2" borderId="10" xfId="0" applyFont="1" applyFill="1" applyBorder="1" applyAlignment="1">
      <alignment vertical="center" wrapText="1"/>
    </xf>
    <xf numFmtId="0" fontId="13" fillId="6" borderId="64" xfId="0" applyFont="1" applyFill="1" applyBorder="1" applyAlignment="1" applyProtection="1">
      <alignment horizontal="center" vertical="center"/>
      <protection locked="0"/>
    </xf>
    <xf numFmtId="0" fontId="13" fillId="6" borderId="66" xfId="0" applyFont="1" applyFill="1" applyBorder="1" applyAlignment="1" applyProtection="1">
      <alignment horizontal="center" vertical="center"/>
      <protection locked="0"/>
    </xf>
    <xf numFmtId="0" fontId="13" fillId="6" borderId="20" xfId="0" applyFont="1" applyFill="1" applyBorder="1" applyAlignment="1" applyProtection="1">
      <alignment horizontal="center" vertical="center"/>
      <protection locked="0"/>
    </xf>
    <xf numFmtId="0" fontId="13" fillId="6" borderId="13" xfId="0" applyFont="1" applyFill="1" applyBorder="1" applyAlignment="1" applyProtection="1">
      <alignment horizontal="center" vertical="center"/>
      <protection locked="0"/>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30" fillId="2" borderId="561"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6" xfId="0" applyFont="1" applyFill="1" applyBorder="1" applyAlignment="1">
      <alignment horizontal="left" vertical="center"/>
    </xf>
    <xf numFmtId="0" fontId="13" fillId="2" borderId="8" xfId="0" applyFont="1" applyFill="1" applyBorder="1" applyAlignment="1">
      <alignment horizontal="left" vertical="center" wrapText="1"/>
    </xf>
    <xf numFmtId="0" fontId="13" fillId="2" borderId="0" xfId="0" applyFont="1" applyFill="1" applyAlignment="1">
      <alignment horizontal="left" vertical="center" wrapText="1"/>
    </xf>
    <xf numFmtId="190" fontId="13" fillId="2" borderId="506" xfId="0" applyNumberFormat="1" applyFont="1" applyFill="1" applyBorder="1" applyAlignment="1">
      <alignment horizontal="center" vertical="center" shrinkToFit="1"/>
    </xf>
    <xf numFmtId="190" fontId="13" fillId="2" borderId="533" xfId="0" applyNumberFormat="1" applyFont="1" applyFill="1" applyBorder="1" applyAlignment="1">
      <alignment horizontal="center" vertical="center" shrinkToFit="1"/>
    </xf>
    <xf numFmtId="190" fontId="13" fillId="2" borderId="69" xfId="0" applyNumberFormat="1" applyFont="1" applyFill="1" applyBorder="1" applyAlignment="1">
      <alignment horizontal="center" vertical="center" shrinkToFit="1"/>
    </xf>
    <xf numFmtId="189" fontId="17" fillId="2" borderId="69" xfId="0" applyNumberFormat="1" applyFont="1" applyFill="1" applyBorder="1" applyAlignment="1">
      <alignment horizontal="center" vertical="center" shrinkToFit="1"/>
    </xf>
    <xf numFmtId="189" fontId="17" fillId="2" borderId="45" xfId="0" applyNumberFormat="1" applyFont="1" applyFill="1" applyBorder="1" applyAlignment="1">
      <alignment horizontal="center" vertical="center" shrinkToFit="1"/>
    </xf>
    <xf numFmtId="189" fontId="17" fillId="2" borderId="70" xfId="0" applyNumberFormat="1" applyFont="1" applyFill="1" applyBorder="1" applyAlignment="1">
      <alignment horizontal="center" vertical="center" shrinkToFit="1"/>
    </xf>
    <xf numFmtId="0" fontId="13" fillId="5" borderId="118" xfId="0" applyFont="1" applyFill="1" applyBorder="1" applyAlignment="1" applyProtection="1">
      <alignment horizontal="center" vertical="center"/>
    </xf>
    <xf numFmtId="0" fontId="13" fillId="5" borderId="107" xfId="0" applyFont="1" applyFill="1" applyBorder="1" applyAlignment="1" applyProtection="1">
      <alignment horizontal="center" vertical="center"/>
    </xf>
    <xf numFmtId="38" fontId="13" fillId="2" borderId="134" xfId="4" applyFont="1" applyFill="1" applyBorder="1" applyAlignment="1" applyProtection="1">
      <alignment horizontal="center" vertical="center" shrinkToFit="1"/>
    </xf>
    <xf numFmtId="0" fontId="13" fillId="2" borderId="13" xfId="0" applyFont="1" applyFill="1" applyBorder="1" applyAlignment="1">
      <alignment horizontal="center" vertical="center"/>
    </xf>
    <xf numFmtId="0" fontId="13" fillId="2" borderId="537" xfId="0" applyFont="1" applyFill="1" applyBorder="1" applyAlignment="1">
      <alignment horizontal="center" vertical="center" shrinkToFit="1"/>
    </xf>
    <xf numFmtId="0" fontId="13" fillId="5" borderId="534" xfId="0" applyFont="1" applyFill="1" applyBorder="1" applyAlignment="1" applyProtection="1">
      <alignment horizontal="center" vertical="center"/>
    </xf>
    <xf numFmtId="0" fontId="33" fillId="2" borderId="10" xfId="0" applyFont="1" applyFill="1" applyBorder="1" applyAlignment="1">
      <alignment horizontal="left" vertical="center"/>
    </xf>
    <xf numFmtId="0" fontId="13" fillId="6" borderId="105" xfId="0" applyFont="1" applyFill="1" applyBorder="1" applyAlignment="1" applyProtection="1">
      <alignment horizontal="center" vertical="center"/>
      <protection locked="0"/>
    </xf>
    <xf numFmtId="0" fontId="13" fillId="6" borderId="106" xfId="0" applyFont="1" applyFill="1" applyBorder="1" applyAlignment="1" applyProtection="1">
      <alignment horizontal="center" vertical="center"/>
      <protection locked="0"/>
    </xf>
    <xf numFmtId="0" fontId="13" fillId="6" borderId="107" xfId="0" applyFont="1" applyFill="1" applyBorder="1" applyAlignment="1" applyProtection="1">
      <alignment horizontal="center" vertical="center"/>
      <protection locked="0"/>
    </xf>
    <xf numFmtId="0" fontId="13" fillId="2" borderId="118" xfId="0" applyFont="1" applyFill="1" applyBorder="1" applyAlignment="1">
      <alignment horizontal="left" vertical="center" wrapText="1"/>
    </xf>
    <xf numFmtId="0" fontId="13" fillId="2" borderId="106" xfId="0" applyFont="1" applyFill="1" applyBorder="1" applyAlignment="1">
      <alignment horizontal="left" vertical="center" wrapText="1"/>
    </xf>
    <xf numFmtId="0" fontId="13" fillId="2" borderId="107" xfId="0" applyFont="1" applyFill="1" applyBorder="1" applyAlignment="1">
      <alignment horizontal="left" vertical="center" wrapText="1"/>
    </xf>
    <xf numFmtId="0" fontId="13" fillId="0" borderId="21"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13" fillId="0" borderId="108" xfId="0" applyFont="1" applyBorder="1" applyAlignment="1" applyProtection="1">
      <alignment horizontal="center" vertical="center"/>
      <protection locked="0"/>
    </xf>
    <xf numFmtId="0" fontId="13" fillId="0" borderId="109" xfId="0" applyFont="1" applyBorder="1" applyAlignment="1" applyProtection="1">
      <alignment horizontal="center" vertical="center"/>
      <protection locked="0"/>
    </xf>
    <xf numFmtId="0" fontId="13" fillId="0" borderId="110" xfId="0" applyFont="1" applyBorder="1" applyAlignment="1" applyProtection="1">
      <alignment horizontal="center" vertical="center"/>
      <protection locked="0"/>
    </xf>
    <xf numFmtId="0" fontId="13" fillId="2" borderId="113" xfId="0" applyFont="1" applyFill="1" applyBorder="1" applyAlignment="1">
      <alignment horizontal="left" vertical="center" wrapText="1"/>
    </xf>
    <xf numFmtId="0" fontId="13" fillId="2" borderId="72" xfId="0" applyFont="1" applyFill="1" applyBorder="1" applyAlignment="1">
      <alignment horizontal="left" vertical="center" wrapText="1"/>
    </xf>
    <xf numFmtId="0" fontId="13" fillId="2" borderId="73" xfId="0" applyFont="1" applyFill="1" applyBorder="1" applyAlignment="1">
      <alignment horizontal="left" vertical="center" wrapText="1"/>
    </xf>
    <xf numFmtId="0" fontId="13" fillId="0" borderId="71" xfId="0" applyFont="1" applyBorder="1" applyAlignment="1" applyProtection="1">
      <alignment horizontal="center" vertical="center" wrapText="1"/>
      <protection locked="0"/>
    </xf>
    <xf numFmtId="0" fontId="13" fillId="0" borderId="72" xfId="0" applyFont="1" applyBorder="1" applyAlignment="1" applyProtection="1">
      <alignment horizontal="center" vertical="center" wrapText="1"/>
      <protection locked="0"/>
    </xf>
    <xf numFmtId="0" fontId="13" fillId="0" borderId="73" xfId="0" applyFont="1" applyBorder="1" applyAlignment="1" applyProtection="1">
      <alignment horizontal="center" vertical="center" wrapText="1"/>
      <protection locked="0"/>
    </xf>
    <xf numFmtId="0" fontId="13" fillId="2" borderId="561"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6" borderId="21" xfId="0" applyFont="1" applyFill="1" applyBorder="1" applyAlignment="1" applyProtection="1">
      <alignment horizontal="center" vertical="center"/>
      <protection locked="0"/>
    </xf>
    <xf numFmtId="0" fontId="13" fillId="6" borderId="0" xfId="0" applyFont="1" applyFill="1" applyAlignment="1" applyProtection="1">
      <alignment horizontal="center" vertical="center"/>
      <protection locked="0"/>
    </xf>
    <xf numFmtId="0" fontId="13" fillId="6" borderId="15" xfId="0" applyFont="1" applyFill="1" applyBorder="1" applyAlignment="1" applyProtection="1">
      <alignment horizontal="center" vertical="center"/>
      <protection locked="0"/>
    </xf>
    <xf numFmtId="0" fontId="13" fillId="2" borderId="4" xfId="0" applyFont="1" applyFill="1" applyBorder="1" applyAlignment="1">
      <alignment horizontal="center" vertical="center"/>
    </xf>
    <xf numFmtId="0" fontId="13" fillId="2" borderId="17"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3" fillId="2" borderId="186" xfId="0" applyFont="1" applyFill="1" applyBorder="1" applyAlignment="1">
      <alignment horizontal="left" vertical="center" wrapText="1"/>
    </xf>
    <xf numFmtId="0" fontId="13" fillId="2" borderId="17" xfId="0" applyFont="1" applyFill="1" applyBorder="1" applyAlignment="1">
      <alignment horizontal="center" vertical="center" shrinkToFit="1"/>
    </xf>
    <xf numFmtId="0" fontId="13" fillId="2" borderId="18" xfId="0" applyFont="1" applyFill="1" applyBorder="1" applyAlignment="1">
      <alignment horizontal="center" vertical="center" shrinkToFit="1"/>
    </xf>
    <xf numFmtId="0" fontId="13" fillId="2" borderId="14" xfId="0" applyFont="1" applyFill="1" applyBorder="1" applyAlignment="1">
      <alignment horizontal="center" vertical="center" shrinkToFit="1"/>
    </xf>
    <xf numFmtId="0" fontId="13" fillId="2" borderId="84" xfId="0" applyFont="1" applyFill="1" applyBorder="1" applyAlignment="1">
      <alignment horizontal="center" vertical="center"/>
    </xf>
    <xf numFmtId="0" fontId="13" fillId="2" borderId="85" xfId="0" applyFont="1" applyFill="1" applyBorder="1" applyAlignment="1">
      <alignment horizontal="center" vertical="center"/>
    </xf>
    <xf numFmtId="0" fontId="13" fillId="2" borderId="86" xfId="0" applyFont="1" applyFill="1" applyBorder="1" applyAlignment="1">
      <alignment horizontal="center" vertical="center"/>
    </xf>
    <xf numFmtId="0" fontId="13" fillId="2" borderId="17" xfId="0" applyFont="1" applyFill="1" applyBorder="1" applyAlignment="1">
      <alignment horizontal="left" vertical="center" shrinkToFit="1"/>
    </xf>
    <xf numFmtId="0" fontId="13" fillId="2" borderId="18" xfId="0" applyFont="1" applyFill="1" applyBorder="1" applyAlignment="1">
      <alignment horizontal="left" vertical="center" shrinkToFit="1"/>
    </xf>
    <xf numFmtId="0" fontId="13" fillId="2" borderId="14" xfId="0" applyFont="1" applyFill="1" applyBorder="1" applyAlignment="1">
      <alignment horizontal="left" vertical="center" shrinkToFit="1"/>
    </xf>
    <xf numFmtId="0" fontId="13" fillId="6" borderId="71" xfId="0" applyFont="1" applyFill="1" applyBorder="1" applyAlignment="1" applyProtection="1">
      <alignment horizontal="center" vertical="center" wrapText="1"/>
      <protection locked="0"/>
    </xf>
    <xf numFmtId="0" fontId="13" fillId="6" borderId="72" xfId="0" applyFont="1" applyFill="1" applyBorder="1" applyAlignment="1" applyProtection="1">
      <alignment horizontal="center" vertical="center" wrapText="1"/>
      <protection locked="0"/>
    </xf>
    <xf numFmtId="0" fontId="13" fillId="6" borderId="73" xfId="0" applyFont="1" applyFill="1" applyBorder="1" applyAlignment="1" applyProtection="1">
      <alignment horizontal="center" vertical="center" wrapText="1"/>
      <protection locked="0"/>
    </xf>
    <xf numFmtId="0" fontId="13" fillId="2" borderId="32" xfId="0" applyFont="1" applyFill="1" applyBorder="1" applyAlignment="1">
      <alignment horizontal="left" vertical="center" shrinkToFit="1"/>
    </xf>
    <xf numFmtId="0" fontId="13" fillId="2" borderId="19"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30" fillId="2" borderId="4" xfId="0" applyFont="1" applyFill="1" applyBorder="1" applyAlignment="1">
      <alignment horizontal="left" vertical="center"/>
    </xf>
    <xf numFmtId="0" fontId="30" fillId="2" borderId="4" xfId="0" applyFont="1" applyFill="1" applyBorder="1" applyAlignment="1">
      <alignment horizontal="left" vertical="center" wrapText="1"/>
    </xf>
    <xf numFmtId="0" fontId="13" fillId="2" borderId="109" xfId="0" applyFont="1" applyFill="1" applyBorder="1" applyAlignment="1">
      <alignment horizontal="left" vertical="center" shrinkToFit="1"/>
    </xf>
    <xf numFmtId="0" fontId="13" fillId="6" borderId="108" xfId="0" applyFont="1" applyFill="1" applyBorder="1" applyAlignment="1" applyProtection="1">
      <alignment horizontal="center" vertical="center" wrapText="1"/>
      <protection locked="0"/>
    </xf>
    <xf numFmtId="0" fontId="13" fillId="6" borderId="109" xfId="0" applyFont="1" applyFill="1" applyBorder="1" applyAlignment="1" applyProtection="1">
      <alignment horizontal="center" vertical="center" wrapText="1"/>
      <protection locked="0"/>
    </xf>
    <xf numFmtId="0" fontId="13" fillId="6" borderId="110" xfId="0" applyFont="1" applyFill="1" applyBorder="1" applyAlignment="1" applyProtection="1">
      <alignment horizontal="center" vertical="center" wrapText="1"/>
      <protection locked="0"/>
    </xf>
    <xf numFmtId="0" fontId="13" fillId="2" borderId="72" xfId="0" applyFont="1" applyFill="1" applyBorder="1" applyAlignment="1">
      <alignment horizontal="center" vertical="center" shrinkToFit="1"/>
    </xf>
    <xf numFmtId="177" fontId="30" fillId="2" borderId="21" xfId="0" applyNumberFormat="1" applyFont="1" applyFill="1" applyBorder="1" applyAlignment="1">
      <alignment horizontal="center" vertical="center"/>
    </xf>
    <xf numFmtId="177" fontId="30" fillId="2" borderId="0" xfId="0" applyNumberFormat="1" applyFont="1" applyFill="1" applyAlignment="1">
      <alignment horizontal="center" vertical="center"/>
    </xf>
    <xf numFmtId="177" fontId="30" fillId="2" borderId="15" xfId="0" applyNumberFormat="1" applyFont="1" applyFill="1" applyBorder="1" applyAlignment="1">
      <alignment horizontal="center" vertical="center"/>
    </xf>
    <xf numFmtId="0" fontId="13" fillId="4" borderId="153" xfId="0" applyFont="1" applyFill="1" applyBorder="1" applyAlignment="1" applyProtection="1">
      <alignment horizontal="center" vertical="center"/>
      <protection locked="0"/>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3" fillId="2" borderId="106" xfId="0" applyFont="1" applyFill="1" applyBorder="1" applyAlignment="1">
      <alignment horizontal="left" vertical="center" shrinkToFit="1"/>
    </xf>
    <xf numFmtId="0" fontId="13" fillId="2" borderId="106" xfId="0" applyFont="1" applyFill="1" applyBorder="1" applyAlignment="1">
      <alignment horizontal="left" vertical="center" wrapText="1" shrinkToFit="1"/>
    </xf>
    <xf numFmtId="0" fontId="13" fillId="6" borderId="105" xfId="0" applyFont="1" applyFill="1" applyBorder="1" applyAlignment="1" applyProtection="1">
      <alignment horizontal="center" vertical="center" wrapText="1"/>
      <protection locked="0"/>
    </xf>
    <xf numFmtId="0" fontId="13" fillId="6" borderId="106" xfId="0" applyFont="1" applyFill="1" applyBorder="1" applyAlignment="1" applyProtection="1">
      <alignment horizontal="center" vertical="center" wrapText="1"/>
      <protection locked="0"/>
    </xf>
    <xf numFmtId="0" fontId="13" fillId="6" borderId="107" xfId="0" applyFont="1" applyFill="1" applyBorder="1" applyAlignment="1" applyProtection="1">
      <alignment horizontal="center" vertical="center" wrapText="1"/>
      <protection locked="0"/>
    </xf>
    <xf numFmtId="0" fontId="13" fillId="2" borderId="72" xfId="0" applyFont="1" applyFill="1" applyBorder="1" applyAlignment="1">
      <alignment horizontal="left" vertical="center" shrinkToFit="1"/>
    </xf>
    <xf numFmtId="0" fontId="13" fillId="2" borderId="36"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8" fillId="2" borderId="0" xfId="0" applyFont="1" applyFill="1" applyAlignment="1">
      <alignment horizontal="left" vertical="center"/>
    </xf>
    <xf numFmtId="0" fontId="13" fillId="6" borderId="17" xfId="0" applyFont="1" applyFill="1" applyBorder="1" applyAlignment="1" applyProtection="1">
      <alignment horizontal="center" vertical="center" wrapText="1"/>
      <protection locked="0"/>
    </xf>
    <xf numFmtId="0" fontId="13" fillId="6" borderId="18" xfId="0" applyFont="1" applyFill="1" applyBorder="1" applyAlignment="1" applyProtection="1">
      <alignment horizontal="center" vertical="center" wrapText="1"/>
      <protection locked="0"/>
    </xf>
    <xf numFmtId="0" fontId="13" fillId="6" borderId="14" xfId="0" applyFont="1" applyFill="1" applyBorder="1" applyAlignment="1" applyProtection="1">
      <alignment horizontal="center" vertical="center" wrapText="1"/>
      <protection locked="0"/>
    </xf>
    <xf numFmtId="0" fontId="13" fillId="2" borderId="116" xfId="0" applyFont="1" applyFill="1" applyBorder="1" applyAlignment="1">
      <alignment horizontal="left" vertical="center"/>
    </xf>
    <xf numFmtId="0" fontId="13" fillId="2" borderId="117" xfId="0" applyFont="1" applyFill="1" applyBorder="1" applyAlignment="1">
      <alignment horizontal="left" vertical="center"/>
    </xf>
    <xf numFmtId="0" fontId="13" fillId="4" borderId="156" xfId="0" applyFont="1" applyFill="1" applyBorder="1" applyAlignment="1" applyProtection="1">
      <alignment horizontal="center" vertical="center"/>
      <protection locked="0"/>
    </xf>
    <xf numFmtId="0" fontId="13" fillId="2" borderId="32" xfId="0" applyFont="1" applyFill="1" applyBorder="1" applyAlignment="1">
      <alignment horizontal="left" vertical="center" wrapText="1"/>
    </xf>
    <xf numFmtId="0" fontId="13" fillId="2" borderId="71" xfId="0" applyFont="1" applyFill="1" applyBorder="1" applyAlignment="1">
      <alignment horizontal="center" vertical="center"/>
    </xf>
    <xf numFmtId="0" fontId="13" fillId="2" borderId="72" xfId="0" applyFont="1" applyFill="1" applyBorder="1" applyAlignment="1">
      <alignment horizontal="center" vertical="center"/>
    </xf>
    <xf numFmtId="0" fontId="13" fillId="2" borderId="72" xfId="0" applyFont="1" applyFill="1" applyBorder="1" applyAlignment="1">
      <alignment horizontal="left" vertical="center"/>
    </xf>
    <xf numFmtId="177" fontId="30" fillId="2" borderId="69" xfId="0" applyNumberFormat="1" applyFont="1" applyFill="1" applyBorder="1" applyAlignment="1">
      <alignment horizontal="center" vertical="center"/>
    </xf>
    <xf numFmtId="0" fontId="30" fillId="2" borderId="45" xfId="0" applyFont="1" applyFill="1" applyBorder="1" applyAlignment="1">
      <alignment horizontal="center" vertical="center"/>
    </xf>
    <xf numFmtId="0" fontId="30" fillId="2" borderId="70" xfId="0" applyFont="1" applyFill="1" applyBorder="1" applyAlignment="1">
      <alignment horizontal="center" vertical="center"/>
    </xf>
    <xf numFmtId="0" fontId="13" fillId="2" borderId="106" xfId="0" applyFont="1" applyFill="1" applyBorder="1" applyAlignment="1">
      <alignment horizontal="center" vertical="center" shrinkToFit="1"/>
    </xf>
    <xf numFmtId="0" fontId="13" fillId="2" borderId="4" xfId="0" applyFont="1" applyFill="1" applyBorder="1" applyAlignment="1">
      <alignment horizontal="center" vertical="center" wrapText="1"/>
    </xf>
    <xf numFmtId="0" fontId="33" fillId="2" borderId="44" xfId="0" applyFont="1" applyFill="1" applyBorder="1" applyAlignment="1">
      <alignment horizontal="left" vertical="center"/>
    </xf>
    <xf numFmtId="181" fontId="13" fillId="2" borderId="17" xfId="0" applyNumberFormat="1" applyFont="1" applyFill="1" applyBorder="1" applyAlignment="1">
      <alignment horizontal="center" vertical="center" shrinkToFit="1"/>
    </xf>
    <xf numFmtId="181" fontId="13" fillId="2" borderId="18" xfId="0" applyNumberFormat="1" applyFont="1" applyFill="1" applyBorder="1" applyAlignment="1">
      <alignment horizontal="center" vertical="center" shrinkToFit="1"/>
    </xf>
    <xf numFmtId="181" fontId="13" fillId="2" borderId="14" xfId="0" applyNumberFormat="1" applyFont="1" applyFill="1" applyBorder="1" applyAlignment="1">
      <alignment horizontal="center" vertical="center" shrinkToFit="1"/>
    </xf>
    <xf numFmtId="0" fontId="13" fillId="2" borderId="14" xfId="0" applyFont="1" applyFill="1" applyBorder="1" applyAlignment="1">
      <alignment horizontal="center" vertical="center"/>
    </xf>
    <xf numFmtId="0" fontId="13" fillId="2" borderId="186" xfId="0" applyFont="1" applyFill="1" applyBorder="1" applyAlignment="1">
      <alignment horizontal="center" vertical="center" shrinkToFit="1"/>
    </xf>
    <xf numFmtId="0" fontId="30" fillId="2" borderId="17"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14" xfId="0" applyFont="1" applyFill="1" applyBorder="1" applyAlignment="1">
      <alignment horizontal="center" vertical="center"/>
    </xf>
    <xf numFmtId="0" fontId="33" fillId="2" borderId="0" xfId="0" applyFont="1" applyFill="1" applyAlignment="1">
      <alignment horizontal="left" vertical="center"/>
    </xf>
    <xf numFmtId="181" fontId="13" fillId="2" borderId="4" xfId="0" applyNumberFormat="1" applyFont="1" applyFill="1" applyBorder="1" applyAlignment="1">
      <alignment horizontal="center" vertical="center" shrinkToFit="1"/>
    </xf>
    <xf numFmtId="181" fontId="13" fillId="6" borderId="17" xfId="0" applyNumberFormat="1" applyFont="1" applyFill="1" applyBorder="1" applyAlignment="1" applyProtection="1">
      <alignment horizontal="center" vertical="center" shrinkToFit="1"/>
      <protection locked="0"/>
    </xf>
    <xf numFmtId="181" fontId="13" fillId="6" borderId="18" xfId="0" applyNumberFormat="1" applyFont="1" applyFill="1" applyBorder="1" applyAlignment="1" applyProtection="1">
      <alignment horizontal="center" vertical="center" shrinkToFit="1"/>
      <protection locked="0"/>
    </xf>
    <xf numFmtId="181" fontId="13" fillId="6" borderId="14" xfId="0" applyNumberFormat="1" applyFont="1" applyFill="1" applyBorder="1" applyAlignment="1" applyProtection="1">
      <alignment horizontal="center" vertical="center" shrinkToFit="1"/>
      <protection locked="0"/>
    </xf>
    <xf numFmtId="0" fontId="13" fillId="2" borderId="36" xfId="0" applyFont="1" applyFill="1" applyBorder="1" applyAlignment="1">
      <alignment horizontal="center" vertical="center"/>
    </xf>
    <xf numFmtId="0" fontId="13" fillId="2" borderId="0" xfId="0" applyFont="1" applyFill="1" applyAlignment="1">
      <alignment horizontal="center" vertical="center"/>
    </xf>
    <xf numFmtId="0" fontId="13" fillId="2" borderId="2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20" xfId="0" applyFont="1" applyFill="1" applyBorder="1" applyAlignment="1">
      <alignment horizontal="center" vertical="center" wrapText="1"/>
    </xf>
    <xf numFmtId="0" fontId="13" fillId="2" borderId="105" xfId="0" applyFont="1" applyFill="1" applyBorder="1" applyAlignment="1">
      <alignment horizontal="center" vertical="center" wrapText="1"/>
    </xf>
    <xf numFmtId="0" fontId="13" fillId="2" borderId="106" xfId="0" applyFont="1" applyFill="1" applyBorder="1" applyAlignment="1">
      <alignment horizontal="center" vertical="center" wrapText="1"/>
    </xf>
    <xf numFmtId="0" fontId="13" fillId="2" borderId="19" xfId="0" applyFont="1" applyFill="1" applyBorder="1" applyAlignment="1">
      <alignment horizontal="left" vertical="center" shrinkToFit="1"/>
    </xf>
    <xf numFmtId="0" fontId="13" fillId="2" borderId="16" xfId="0" applyFont="1" applyFill="1" applyBorder="1" applyAlignment="1">
      <alignment horizontal="left" vertical="center" shrinkToFit="1"/>
    </xf>
    <xf numFmtId="0" fontId="13" fillId="2" borderId="61" xfId="0" applyFont="1" applyFill="1" applyBorder="1" applyAlignment="1">
      <alignment horizontal="left" vertical="center" wrapText="1"/>
    </xf>
    <xf numFmtId="0" fontId="13" fillId="2" borderId="62" xfId="0" applyFont="1" applyFill="1" applyBorder="1" applyAlignment="1">
      <alignment horizontal="left" vertical="center" wrapText="1"/>
    </xf>
    <xf numFmtId="177" fontId="30" fillId="2" borderId="71" xfId="0" applyNumberFormat="1" applyFont="1" applyFill="1" applyBorder="1" applyAlignment="1">
      <alignment horizontal="center" vertical="center"/>
    </xf>
    <xf numFmtId="177" fontId="30" fillId="2" borderId="72" xfId="0" applyNumberFormat="1" applyFont="1" applyFill="1" applyBorder="1" applyAlignment="1">
      <alignment horizontal="center" vertical="center"/>
    </xf>
    <xf numFmtId="177" fontId="30" fillId="2" borderId="73" xfId="0" applyNumberFormat="1" applyFont="1" applyFill="1" applyBorder="1" applyAlignment="1">
      <alignment horizontal="center" vertical="center"/>
    </xf>
    <xf numFmtId="181" fontId="13" fillId="2" borderId="84" xfId="0" applyNumberFormat="1" applyFont="1" applyFill="1" applyBorder="1" applyAlignment="1">
      <alignment horizontal="center" vertical="center" shrinkToFit="1"/>
    </xf>
    <xf numFmtId="181" fontId="13" fillId="2" borderId="85" xfId="0" applyNumberFormat="1" applyFont="1" applyFill="1" applyBorder="1" applyAlignment="1">
      <alignment horizontal="center" vertical="center" shrinkToFit="1"/>
    </xf>
    <xf numFmtId="181" fontId="13" fillId="2" borderId="86" xfId="0" applyNumberFormat="1" applyFont="1" applyFill="1" applyBorder="1" applyAlignment="1">
      <alignment horizontal="center" vertical="center" shrinkToFit="1"/>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3" fillId="2" borderId="3" xfId="0" applyFont="1" applyFill="1" applyBorder="1" applyAlignment="1">
      <alignment horizontal="center" vertical="center" shrinkToFit="1"/>
    </xf>
    <xf numFmtId="0" fontId="30" fillId="0" borderId="28" xfId="0" applyFont="1" applyBorder="1" applyAlignment="1">
      <alignment horizontal="center" vertical="center" shrinkToFit="1"/>
    </xf>
    <xf numFmtId="0" fontId="30" fillId="0" borderId="55" xfId="0" applyFont="1" applyBorder="1" applyAlignment="1">
      <alignment horizontal="center" vertical="center" shrinkToFit="1"/>
    </xf>
    <xf numFmtId="0" fontId="30" fillId="0" borderId="129" xfId="0" applyFont="1" applyBorder="1" applyAlignment="1">
      <alignment horizontal="center" vertical="center" shrinkToFit="1"/>
    </xf>
    <xf numFmtId="0" fontId="13" fillId="2" borderId="27" xfId="0" applyFont="1" applyFill="1" applyBorder="1" applyAlignment="1">
      <alignment horizontal="center" vertical="center" shrinkToFit="1"/>
    </xf>
    <xf numFmtId="0" fontId="13" fillId="2" borderId="75" xfId="0" applyFont="1" applyFill="1" applyBorder="1" applyAlignment="1">
      <alignment horizontal="center" vertical="center" shrinkToFit="1"/>
    </xf>
    <xf numFmtId="0" fontId="30" fillId="0" borderId="5" xfId="0" applyFont="1" applyBorder="1" applyAlignment="1">
      <alignment horizontal="center" vertical="center" shrinkToFit="1"/>
    </xf>
    <xf numFmtId="0" fontId="30" fillId="0" borderId="68" xfId="0" applyFont="1" applyBorder="1" applyAlignment="1">
      <alignment horizontal="center" vertical="center" shrinkToFit="1"/>
    </xf>
    <xf numFmtId="0" fontId="10" fillId="0" borderId="28" xfId="0" applyFont="1" applyBorder="1" applyAlignment="1">
      <alignment horizontal="center" vertical="center"/>
    </xf>
    <xf numFmtId="0" fontId="10" fillId="0" borderId="55" xfId="0" applyFont="1" applyBorder="1" applyAlignment="1">
      <alignment horizontal="center" vertical="center"/>
    </xf>
    <xf numFmtId="0" fontId="30" fillId="2" borderId="4" xfId="0" applyFont="1" applyFill="1" applyBorder="1" applyAlignment="1">
      <alignment horizontal="center" vertical="center"/>
    </xf>
    <xf numFmtId="0" fontId="13" fillId="2" borderId="14"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30" fillId="2" borderId="504" xfId="0" applyFont="1" applyFill="1" applyBorder="1" applyAlignment="1">
      <alignment horizontal="center" vertical="center" shrinkToFit="1"/>
    </xf>
    <xf numFmtId="0" fontId="13" fillId="6" borderId="17" xfId="0" applyFont="1" applyFill="1" applyBorder="1" applyAlignment="1" applyProtection="1">
      <alignment horizontal="center" vertical="center"/>
      <protection locked="0"/>
    </xf>
    <xf numFmtId="0" fontId="13" fillId="6" borderId="18" xfId="0" applyFont="1" applyFill="1" applyBorder="1" applyAlignment="1" applyProtection="1">
      <alignment horizontal="center" vertical="center"/>
      <protection locked="0"/>
    </xf>
    <xf numFmtId="0" fontId="13" fillId="6" borderId="186" xfId="0" applyFont="1" applyFill="1" applyBorder="1" applyAlignment="1" applyProtection="1">
      <alignment horizontal="center" vertical="center"/>
      <protection locked="0"/>
    </xf>
    <xf numFmtId="0" fontId="33" fillId="2" borderId="0" xfId="0" applyFont="1" applyFill="1" applyAlignment="1">
      <alignment horizontal="left" vertical="center" shrinkToFit="1"/>
    </xf>
    <xf numFmtId="0" fontId="26" fillId="2" borderId="0" xfId="0" applyFont="1" applyFill="1" applyAlignment="1">
      <alignment horizontal="left" vertical="center" shrinkToFit="1"/>
    </xf>
    <xf numFmtId="0" fontId="13" fillId="0" borderId="17" xfId="0" applyFont="1" applyBorder="1" applyAlignment="1">
      <alignment horizontal="center" vertical="center"/>
    </xf>
    <xf numFmtId="0" fontId="13" fillId="0" borderId="186" xfId="0" applyFont="1" applyBorder="1" applyAlignment="1">
      <alignment horizontal="center" vertical="center"/>
    </xf>
    <xf numFmtId="0" fontId="13" fillId="2" borderId="0" xfId="0" applyFont="1" applyFill="1" applyAlignment="1">
      <alignment horizontal="left" vertical="center"/>
    </xf>
    <xf numFmtId="0" fontId="30" fillId="2" borderId="10" xfId="0" applyFont="1" applyFill="1" applyBorder="1" applyAlignment="1">
      <alignment horizontal="center" vertical="center"/>
    </xf>
    <xf numFmtId="0" fontId="30" fillId="2" borderId="10" xfId="0" applyFont="1" applyFill="1" applyBorder="1" applyAlignment="1">
      <alignment horizontal="center" vertical="center" shrinkToFit="1"/>
    </xf>
    <xf numFmtId="0" fontId="30" fillId="2" borderId="13" xfId="0" applyFont="1" applyFill="1" applyBorder="1" applyAlignment="1">
      <alignment horizontal="center" vertical="center" shrinkToFit="1"/>
    </xf>
    <xf numFmtId="0" fontId="30" fillId="2" borderId="187" xfId="0" applyFont="1" applyFill="1" applyBorder="1" applyAlignment="1">
      <alignment horizontal="center" vertical="center" wrapText="1"/>
    </xf>
    <xf numFmtId="0" fontId="30" fillId="2" borderId="507"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15"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73" fillId="2" borderId="10" xfId="0" applyFont="1" applyFill="1" applyBorder="1" applyAlignment="1">
      <alignment horizontal="center" vertical="center" shrinkToFit="1"/>
    </xf>
    <xf numFmtId="0" fontId="73" fillId="2" borderId="44" xfId="0" applyFont="1" applyFill="1" applyBorder="1" applyAlignment="1">
      <alignment horizontal="center" vertical="center" shrinkToFit="1"/>
    </xf>
    <xf numFmtId="0" fontId="13" fillId="2" borderId="187" xfId="0" applyFont="1" applyFill="1" applyBorder="1" applyAlignment="1">
      <alignment horizontal="center" vertical="center"/>
    </xf>
    <xf numFmtId="0" fontId="13" fillId="2" borderId="198" xfId="0" applyFont="1" applyFill="1" applyBorder="1" applyAlignment="1">
      <alignment horizontal="center" vertical="center"/>
    </xf>
    <xf numFmtId="0" fontId="13" fillId="2" borderId="187" xfId="0" applyFont="1" applyFill="1" applyBorder="1" applyAlignment="1">
      <alignment horizontal="left" vertical="center" shrinkToFit="1"/>
    </xf>
    <xf numFmtId="0" fontId="13" fillId="2" borderId="198" xfId="0" applyFont="1" applyFill="1" applyBorder="1" applyAlignment="1">
      <alignment horizontal="left" vertical="center" shrinkToFit="1"/>
    </xf>
    <xf numFmtId="0" fontId="13" fillId="2" borderId="20" xfId="0" applyFont="1" applyFill="1" applyBorder="1" applyAlignment="1">
      <alignment horizontal="left" vertical="center" shrinkToFit="1"/>
    </xf>
    <xf numFmtId="0" fontId="13" fillId="2" borderId="10" xfId="0" applyFont="1" applyFill="1" applyBorder="1" applyAlignment="1">
      <alignment horizontal="left" vertical="center" shrinkToFit="1"/>
    </xf>
    <xf numFmtId="0" fontId="13" fillId="2" borderId="13" xfId="0" applyFont="1" applyFill="1" applyBorder="1" applyAlignment="1">
      <alignment horizontal="left" vertical="center" shrinkToFit="1"/>
    </xf>
    <xf numFmtId="0" fontId="30" fillId="2" borderId="109" xfId="0" applyFont="1" applyFill="1" applyBorder="1" applyAlignment="1">
      <alignment horizontal="center" vertical="center" shrinkToFit="1"/>
    </xf>
    <xf numFmtId="188" fontId="30" fillId="4" borderId="109" xfId="0" applyNumberFormat="1" applyFont="1" applyFill="1" applyBorder="1" applyAlignment="1" applyProtection="1">
      <alignment horizontal="center" vertical="center" shrinkToFit="1"/>
      <protection locked="0"/>
    </xf>
    <xf numFmtId="188" fontId="30" fillId="6" borderId="109" xfId="0" applyNumberFormat="1" applyFont="1" applyFill="1" applyBorder="1" applyAlignment="1" applyProtection="1">
      <alignment horizontal="center" vertical="center" shrinkToFit="1"/>
      <protection locked="0"/>
    </xf>
    <xf numFmtId="0" fontId="30" fillId="2" borderId="0" xfId="0" applyFont="1" applyFill="1" applyAlignment="1">
      <alignment horizontal="center" vertical="center"/>
    </xf>
    <xf numFmtId="0" fontId="30" fillId="4" borderId="0" xfId="0" applyFont="1" applyFill="1" applyAlignment="1" applyProtection="1">
      <alignment horizontal="center" vertical="center" shrinkToFit="1"/>
      <protection locked="0"/>
    </xf>
    <xf numFmtId="0" fontId="30" fillId="4" borderId="15" xfId="0" applyFont="1" applyFill="1" applyBorder="1" applyAlignment="1" applyProtection="1">
      <alignment horizontal="center" vertical="center" shrinkToFit="1"/>
      <protection locked="0"/>
    </xf>
    <xf numFmtId="0" fontId="30" fillId="2" borderId="198" xfId="0" applyFont="1" applyFill="1" applyBorder="1" applyAlignment="1">
      <alignment horizontal="left" vertical="center"/>
    </xf>
    <xf numFmtId="0" fontId="30" fillId="2" borderId="187" xfId="0" applyFont="1" applyFill="1" applyBorder="1" applyAlignment="1">
      <alignment horizontal="center" vertical="center" shrinkToFit="1"/>
    </xf>
    <xf numFmtId="0" fontId="30" fillId="2" borderId="198" xfId="0" applyFont="1" applyFill="1" applyBorder="1" applyAlignment="1">
      <alignment horizontal="center" vertical="center" shrinkToFit="1"/>
    </xf>
    <xf numFmtId="0" fontId="30" fillId="2" borderId="16" xfId="0" applyFont="1" applyFill="1" applyBorder="1" applyAlignment="1">
      <alignment horizontal="center" vertical="center" shrinkToFit="1"/>
    </xf>
    <xf numFmtId="0" fontId="30" fillId="2" borderId="20" xfId="0" applyFont="1" applyFill="1" applyBorder="1" applyAlignment="1">
      <alignment horizontal="center" vertical="center" shrinkToFit="1"/>
    </xf>
    <xf numFmtId="0" fontId="30" fillId="2" borderId="198" xfId="0" applyFont="1" applyFill="1" applyBorder="1" applyAlignment="1">
      <alignment horizontal="center" vertical="center" wrapText="1"/>
    </xf>
    <xf numFmtId="0" fontId="30" fillId="2" borderId="535" xfId="0" applyFont="1" applyFill="1" applyBorder="1" applyAlignment="1">
      <alignment horizontal="center" vertical="center"/>
    </xf>
    <xf numFmtId="0" fontId="30" fillId="2" borderId="542" xfId="0" applyFont="1" applyFill="1" applyBorder="1" applyAlignment="1">
      <alignment horizontal="center" vertical="center"/>
    </xf>
    <xf numFmtId="0" fontId="30" fillId="2" borderId="21" xfId="0" applyFont="1" applyFill="1" applyBorder="1" applyAlignment="1">
      <alignment horizontal="center" vertical="center"/>
    </xf>
    <xf numFmtId="0" fontId="30" fillId="2" borderId="20" xfId="0" applyFont="1" applyFill="1" applyBorder="1" applyAlignment="1">
      <alignment horizontal="center" vertical="center"/>
    </xf>
    <xf numFmtId="0" fontId="13" fillId="2" borderId="186" xfId="0" applyFont="1" applyFill="1" applyBorder="1" applyAlignment="1">
      <alignment horizontal="center" vertical="center"/>
    </xf>
    <xf numFmtId="0" fontId="13" fillId="2" borderId="108" xfId="0" applyFont="1" applyFill="1" applyBorder="1" applyAlignment="1">
      <alignment horizontal="right" vertical="center" wrapText="1"/>
    </xf>
    <xf numFmtId="0" fontId="13" fillId="2" borderId="109" xfId="0" applyFont="1" applyFill="1" applyBorder="1" applyAlignment="1">
      <alignment horizontal="right" vertical="center" wrapText="1"/>
    </xf>
    <xf numFmtId="0" fontId="13" fillId="2" borderId="124" xfId="0" applyFont="1" applyFill="1" applyBorder="1" applyAlignment="1">
      <alignment horizontal="right" vertical="center" wrapText="1"/>
    </xf>
    <xf numFmtId="0" fontId="13" fillId="2" borderId="125" xfId="0" applyFont="1" applyFill="1" applyBorder="1" applyAlignment="1">
      <alignment horizontal="right" vertical="center" wrapText="1"/>
    </xf>
    <xf numFmtId="0" fontId="13" fillId="4" borderId="152" xfId="0" applyFont="1" applyFill="1" applyBorder="1" applyAlignment="1" applyProtection="1">
      <alignment horizontal="center" vertical="center" shrinkToFit="1"/>
      <protection locked="0"/>
    </xf>
    <xf numFmtId="0" fontId="13" fillId="4" borderId="167" xfId="0" applyFont="1" applyFill="1" applyBorder="1" applyAlignment="1" applyProtection="1">
      <alignment horizontal="center" vertical="center" shrinkToFit="1"/>
      <protection locked="0"/>
    </xf>
    <xf numFmtId="0" fontId="13" fillId="2" borderId="0" xfId="0" applyFont="1" applyFill="1" applyAlignment="1">
      <alignment horizontal="left" vertical="center" wrapText="1" shrinkToFit="1"/>
    </xf>
    <xf numFmtId="0" fontId="13" fillId="4" borderId="501" xfId="0" applyFont="1" applyFill="1" applyBorder="1" applyAlignment="1" applyProtection="1">
      <alignment horizontal="center" vertical="center"/>
      <protection locked="0"/>
    </xf>
    <xf numFmtId="0" fontId="13" fillId="2" borderId="153" xfId="0" applyFont="1" applyFill="1" applyBorder="1" applyAlignment="1">
      <alignment horizontal="right" vertical="center" shrinkToFit="1"/>
    </xf>
    <xf numFmtId="0" fontId="13" fillId="2" borderId="167" xfId="0" applyFont="1" applyFill="1" applyBorder="1" applyAlignment="1">
      <alignment horizontal="right" vertical="center" shrinkToFit="1"/>
    </xf>
    <xf numFmtId="38" fontId="13" fillId="2" borderId="180" xfId="4" applyFont="1" applyFill="1" applyBorder="1" applyAlignment="1" applyProtection="1">
      <alignment horizontal="center" vertical="center" shrinkToFit="1"/>
    </xf>
    <xf numFmtId="0" fontId="13" fillId="6" borderId="0" xfId="0" applyFont="1" applyFill="1" applyAlignment="1" applyProtection="1">
      <alignment horizontal="center" vertical="center" wrapText="1"/>
      <protection locked="0"/>
    </xf>
    <xf numFmtId="0" fontId="13" fillId="2" borderId="16"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15" xfId="0" applyFont="1" applyFill="1" applyBorder="1" applyAlignment="1">
      <alignment horizontal="center" vertical="center"/>
    </xf>
    <xf numFmtId="0" fontId="38" fillId="2" borderId="111" xfId="0" applyFont="1" applyFill="1" applyBorder="1" applyAlignment="1">
      <alignment horizontal="center" vertical="center" wrapText="1" shrinkToFit="1"/>
    </xf>
    <xf numFmtId="0" fontId="38" fillId="2" borderId="112" xfId="0" applyFont="1" applyFill="1" applyBorder="1" applyAlignment="1">
      <alignment horizontal="center" vertical="center" wrapText="1" shrinkToFit="1"/>
    </xf>
    <xf numFmtId="0" fontId="38" fillId="2" borderId="113" xfId="0" applyFont="1" applyFill="1" applyBorder="1" applyAlignment="1">
      <alignment horizontal="center" vertical="center" wrapText="1" shrinkToFit="1"/>
    </xf>
    <xf numFmtId="0" fontId="13" fillId="6" borderId="4" xfId="0" applyFont="1" applyFill="1" applyBorder="1" applyAlignment="1" applyProtection="1">
      <alignment horizontal="center" vertical="center"/>
      <protection locked="0"/>
    </xf>
    <xf numFmtId="0" fontId="13" fillId="6" borderId="8" xfId="0" applyFont="1" applyFill="1" applyBorder="1" applyAlignment="1" applyProtection="1">
      <alignment horizontal="center" vertical="center"/>
      <protection locked="0"/>
    </xf>
    <xf numFmtId="0" fontId="13" fillId="2" borderId="187" xfId="0" applyFont="1" applyFill="1" applyBorder="1" applyAlignment="1">
      <alignment horizontal="center" vertical="center" wrapText="1"/>
    </xf>
    <xf numFmtId="0" fontId="13" fillId="2" borderId="188" xfId="0" applyFont="1" applyFill="1" applyBorder="1" applyAlignment="1">
      <alignment horizontal="center" vertical="center" wrapText="1"/>
    </xf>
    <xf numFmtId="0" fontId="13" fillId="6" borderId="10" xfId="0" applyFont="1" applyFill="1" applyBorder="1" applyAlignment="1" applyProtection="1">
      <alignment horizontal="center" vertical="center"/>
      <protection locked="0"/>
    </xf>
    <xf numFmtId="0" fontId="13" fillId="6" borderId="71" xfId="0" applyFont="1" applyFill="1" applyBorder="1" applyAlignment="1" applyProtection="1">
      <alignment horizontal="center" vertical="center"/>
      <protection locked="0"/>
    </xf>
    <xf numFmtId="0" fontId="13" fillId="6" borderId="72" xfId="0" applyFont="1" applyFill="1" applyBorder="1" applyAlignment="1" applyProtection="1">
      <alignment horizontal="center" vertical="center"/>
      <protection locked="0"/>
    </xf>
    <xf numFmtId="0" fontId="13" fillId="6" borderId="73" xfId="0" applyFont="1" applyFill="1" applyBorder="1" applyAlignment="1" applyProtection="1">
      <alignment horizontal="center" vertical="center"/>
      <protection locked="0"/>
    </xf>
    <xf numFmtId="0" fontId="73" fillId="2" borderId="0" xfId="0" applyFont="1" applyFill="1" applyAlignment="1">
      <alignment horizontal="left" vertical="center"/>
    </xf>
    <xf numFmtId="0" fontId="13" fillId="4" borderId="111" xfId="0" applyFont="1" applyFill="1" applyBorder="1" applyAlignment="1" applyProtection="1">
      <alignment horizontal="left" vertical="center" wrapText="1"/>
      <protection locked="0"/>
    </xf>
    <xf numFmtId="0" fontId="13" fillId="4" borderId="112" xfId="0" applyFont="1" applyFill="1" applyBorder="1" applyAlignment="1" applyProtection="1">
      <alignment horizontal="left" vertical="center" wrapText="1"/>
      <protection locked="0"/>
    </xf>
    <xf numFmtId="0" fontId="13" fillId="2" borderId="507" xfId="0" applyFont="1" applyFill="1" applyBorder="1" applyAlignment="1">
      <alignment horizontal="left" vertical="center" wrapText="1"/>
    </xf>
    <xf numFmtId="0" fontId="13" fillId="2" borderId="108" xfId="0" applyFont="1" applyFill="1" applyBorder="1" applyAlignment="1">
      <alignment horizontal="center" vertical="center"/>
    </xf>
    <xf numFmtId="0" fontId="13" fillId="2" borderId="109" xfId="0" applyFont="1" applyFill="1" applyBorder="1" applyAlignment="1">
      <alignment horizontal="center" vertical="center"/>
    </xf>
    <xf numFmtId="0" fontId="13" fillId="2" borderId="109" xfId="0" applyFont="1" applyFill="1" applyBorder="1" applyAlignment="1">
      <alignment vertical="center" wrapText="1"/>
    </xf>
    <xf numFmtId="0" fontId="13" fillId="2" borderId="110" xfId="0" applyFont="1" applyFill="1" applyBorder="1" applyAlignment="1">
      <alignment vertical="center" wrapText="1"/>
    </xf>
    <xf numFmtId="0" fontId="13" fillId="2" borderId="13" xfId="0" applyFont="1" applyFill="1" applyBorder="1" applyAlignment="1">
      <alignment vertical="center" wrapText="1"/>
    </xf>
    <xf numFmtId="0" fontId="13" fillId="5" borderId="109" xfId="0" applyFont="1" applyFill="1" applyBorder="1" applyAlignment="1" applyProtection="1">
      <alignment horizontal="center" vertical="center"/>
      <protection locked="0"/>
    </xf>
    <xf numFmtId="0" fontId="13" fillId="5" borderId="110" xfId="0" applyFont="1" applyFill="1" applyBorder="1" applyAlignment="1" applyProtection="1">
      <alignment horizontal="center" vertical="center"/>
      <protection locked="0"/>
    </xf>
    <xf numFmtId="0" fontId="13" fillId="5" borderId="10" xfId="0"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30" fillId="2" borderId="13" xfId="0" applyFont="1" applyFill="1" applyBorder="1" applyAlignment="1">
      <alignment horizontal="center" vertical="center"/>
    </xf>
    <xf numFmtId="0" fontId="13" fillId="2" borderId="158" xfId="0" applyFont="1" applyFill="1" applyBorder="1" applyAlignment="1">
      <alignment horizontal="center" vertical="center"/>
    </xf>
    <xf numFmtId="0" fontId="13" fillId="2" borderId="158" xfId="0" applyFont="1" applyFill="1" applyBorder="1" applyAlignment="1">
      <alignment horizontal="left" vertical="center" wrapText="1"/>
    </xf>
    <xf numFmtId="0" fontId="13" fillId="2" borderId="91" xfId="0" applyFont="1" applyFill="1" applyBorder="1" applyAlignment="1">
      <alignment horizontal="center" vertical="center"/>
    </xf>
    <xf numFmtId="0" fontId="13" fillId="4" borderId="91" xfId="0" applyFont="1" applyFill="1" applyBorder="1" applyAlignment="1" applyProtection="1">
      <alignment horizontal="center" vertical="center" shrinkToFit="1"/>
      <protection locked="0"/>
    </xf>
    <xf numFmtId="0" fontId="13" fillId="4" borderId="92" xfId="0" applyFont="1" applyFill="1" applyBorder="1" applyAlignment="1" applyProtection="1">
      <alignment horizontal="center" vertical="center" shrinkToFit="1"/>
      <protection locked="0"/>
    </xf>
    <xf numFmtId="0" fontId="13" fillId="6" borderId="4" xfId="0" applyFont="1" applyFill="1" applyBorder="1" applyAlignment="1" applyProtection="1">
      <alignment horizontal="center" vertical="center" wrapText="1"/>
      <protection locked="0"/>
    </xf>
    <xf numFmtId="0" fontId="13" fillId="2" borderId="14" xfId="0" applyFont="1" applyFill="1" applyBorder="1" applyAlignment="1">
      <alignment horizontal="center" vertical="center" wrapText="1"/>
    </xf>
    <xf numFmtId="0" fontId="13" fillId="2" borderId="507"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113" xfId="0" applyFont="1" applyFill="1" applyBorder="1" applyAlignment="1">
      <alignment horizontal="center" vertical="center" wrapText="1"/>
    </xf>
    <xf numFmtId="0" fontId="13" fillId="2" borderId="72" xfId="0" applyFont="1" applyFill="1" applyBorder="1" applyAlignment="1">
      <alignment horizontal="center" vertical="center" wrapText="1"/>
    </xf>
    <xf numFmtId="0" fontId="13" fillId="2" borderId="73" xfId="0" applyFont="1" applyFill="1" applyBorder="1" applyAlignment="1">
      <alignment horizontal="center" vertical="center" wrapText="1"/>
    </xf>
    <xf numFmtId="201" fontId="13" fillId="2" borderId="118" xfId="0" applyNumberFormat="1" applyFont="1" applyFill="1" applyBorder="1" applyAlignment="1">
      <alignment horizontal="center" vertical="center" wrapText="1"/>
    </xf>
    <xf numFmtId="201" fontId="13" fillId="2" borderId="106" xfId="0" applyNumberFormat="1" applyFont="1" applyFill="1" applyBorder="1" applyAlignment="1">
      <alignment horizontal="center" vertical="center" wrapText="1"/>
    </xf>
    <xf numFmtId="201" fontId="13" fillId="2" borderId="107" xfId="0" applyNumberFormat="1" applyFont="1" applyFill="1" applyBorder="1" applyAlignment="1">
      <alignment horizontal="center" vertical="center" wrapText="1"/>
    </xf>
    <xf numFmtId="188" fontId="13" fillId="4" borderId="118" xfId="0" applyNumberFormat="1" applyFont="1" applyFill="1" applyBorder="1" applyAlignment="1" applyProtection="1">
      <alignment horizontal="center" vertical="center" shrinkToFit="1"/>
      <protection locked="0"/>
    </xf>
    <xf numFmtId="188" fontId="13" fillId="4" borderId="534" xfId="0" applyNumberFormat="1" applyFont="1" applyFill="1" applyBorder="1" applyAlignment="1" applyProtection="1">
      <alignment horizontal="center" vertical="center" shrinkToFit="1"/>
      <protection locked="0"/>
    </xf>
    <xf numFmtId="0" fontId="13" fillId="2" borderId="69" xfId="0" applyFont="1" applyFill="1" applyBorder="1" applyAlignment="1">
      <alignment horizontal="center" vertical="center" shrinkToFit="1"/>
    </xf>
    <xf numFmtId="0" fontId="13" fillId="2" borderId="70" xfId="0" applyFont="1" applyFill="1" applyBorder="1" applyAlignment="1">
      <alignment horizontal="center" vertical="center" shrinkToFit="1"/>
    </xf>
    <xf numFmtId="0" fontId="13" fillId="2" borderId="105" xfId="0" applyFont="1" applyFill="1" applyBorder="1" applyAlignment="1">
      <alignment horizontal="center" vertical="center" shrinkToFit="1"/>
    </xf>
    <xf numFmtId="0" fontId="13" fillId="2" borderId="107" xfId="0" applyFont="1" applyFill="1" applyBorder="1" applyAlignment="1">
      <alignment horizontal="center" vertical="center" shrinkToFit="1"/>
    </xf>
    <xf numFmtId="188" fontId="13" fillId="4" borderId="105" xfId="0" applyNumberFormat="1" applyFont="1" applyFill="1" applyBorder="1" applyAlignment="1" applyProtection="1">
      <alignment horizontal="center" vertical="center" shrinkToFit="1"/>
      <protection locked="0"/>
    </xf>
    <xf numFmtId="0" fontId="13" fillId="2" borderId="107" xfId="0" applyFont="1" applyFill="1" applyBorder="1" applyAlignment="1">
      <alignment horizontal="left" vertical="center" shrinkToFit="1"/>
    </xf>
    <xf numFmtId="0" fontId="13" fillId="2" borderId="188"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32" xfId="0" applyFont="1" applyFill="1" applyBorder="1" applyAlignment="1">
      <alignment horizontal="center" vertical="center"/>
    </xf>
    <xf numFmtId="0" fontId="30" fillId="2" borderId="16" xfId="0" applyFont="1" applyFill="1" applyBorder="1" applyAlignment="1">
      <alignment horizontal="center" vertical="center"/>
    </xf>
    <xf numFmtId="0" fontId="30" fillId="2" borderId="19" xfId="0" applyFont="1" applyFill="1" applyBorder="1" applyAlignment="1">
      <alignment horizontal="left" vertical="center"/>
    </xf>
    <xf numFmtId="0" fontId="30" fillId="2" borderId="32" xfId="0" applyFont="1" applyFill="1" applyBorder="1" applyAlignment="1">
      <alignment horizontal="left" vertical="center"/>
    </xf>
    <xf numFmtId="0" fontId="30" fillId="2" borderId="16" xfId="0" applyFont="1" applyFill="1" applyBorder="1" applyAlignment="1">
      <alignment horizontal="left" vertical="center"/>
    </xf>
    <xf numFmtId="0" fontId="13" fillId="2" borderId="125" xfId="0" applyFont="1" applyFill="1" applyBorder="1" applyAlignment="1">
      <alignment horizontal="center" vertical="center" wrapText="1"/>
    </xf>
    <xf numFmtId="0" fontId="13" fillId="2" borderId="126" xfId="0" applyFont="1" applyFill="1" applyBorder="1" applyAlignment="1">
      <alignment horizontal="center" vertical="center" wrapText="1"/>
    </xf>
    <xf numFmtId="0" fontId="13" fillId="2" borderId="166" xfId="0" applyFont="1" applyFill="1" applyBorder="1" applyAlignment="1">
      <alignment horizontal="right" vertical="center" shrinkToFit="1"/>
    </xf>
    <xf numFmtId="0" fontId="13" fillId="2" borderId="168" xfId="0" applyFont="1" applyFill="1" applyBorder="1" applyAlignment="1">
      <alignment horizontal="right" vertical="center" shrinkToFit="1"/>
    </xf>
    <xf numFmtId="0" fontId="13" fillId="4" borderId="475" xfId="0" applyFont="1" applyFill="1" applyBorder="1" applyAlignment="1" applyProtection="1">
      <alignment horizontal="center" vertical="center" shrinkToFit="1"/>
      <protection locked="0"/>
    </xf>
    <xf numFmtId="0" fontId="13" fillId="4" borderId="168" xfId="0" applyFont="1" applyFill="1" applyBorder="1" applyAlignment="1" applyProtection="1">
      <alignment horizontal="center" vertical="center" shrinkToFit="1"/>
      <protection locked="0"/>
    </xf>
    <xf numFmtId="0" fontId="13" fillId="2" borderId="124" xfId="0" applyFont="1" applyFill="1" applyBorder="1" applyAlignment="1">
      <alignment horizontal="center" vertical="center"/>
    </xf>
    <xf numFmtId="0" fontId="13" fillId="2" borderId="125" xfId="0" applyFont="1" applyFill="1" applyBorder="1" applyAlignment="1">
      <alignment horizontal="center" vertical="center"/>
    </xf>
    <xf numFmtId="0" fontId="38" fillId="2" borderId="190" xfId="0" applyFont="1" applyFill="1" applyBorder="1" applyAlignment="1">
      <alignment horizontal="left" vertical="center" wrapText="1"/>
    </xf>
    <xf numFmtId="0" fontId="13" fillId="5" borderId="154" xfId="0" applyFont="1" applyFill="1" applyBorder="1" applyAlignment="1" applyProtection="1">
      <alignment horizontal="center" vertical="center" wrapText="1"/>
      <protection locked="0"/>
    </xf>
    <xf numFmtId="0" fontId="13" fillId="5" borderId="232" xfId="0" applyFont="1" applyFill="1" applyBorder="1" applyAlignment="1" applyProtection="1">
      <alignment horizontal="center" vertical="center" wrapText="1"/>
      <protection locked="0"/>
    </xf>
    <xf numFmtId="188" fontId="13" fillId="5" borderId="113" xfId="0" applyNumberFormat="1" applyFont="1" applyFill="1" applyBorder="1" applyAlignment="1" applyProtection="1">
      <alignment horizontal="center" vertical="center" shrinkToFit="1"/>
      <protection locked="0"/>
    </xf>
    <xf numFmtId="188" fontId="13" fillId="5" borderId="114" xfId="0" applyNumberFormat="1" applyFont="1" applyFill="1" applyBorder="1" applyAlignment="1" applyProtection="1">
      <alignment horizontal="center" vertical="center" shrinkToFit="1"/>
      <protection locked="0"/>
    </xf>
    <xf numFmtId="188" fontId="13" fillId="5" borderId="71" xfId="0" applyNumberFormat="1" applyFont="1" applyFill="1" applyBorder="1" applyAlignment="1" applyProtection="1">
      <alignment horizontal="center" vertical="center" shrinkToFit="1"/>
      <protection locked="0"/>
    </xf>
    <xf numFmtId="0" fontId="13" fillId="5" borderId="507" xfId="0" applyFont="1" applyFill="1" applyBorder="1" applyAlignment="1" applyProtection="1">
      <alignment horizontal="center" vertical="center" shrinkToFit="1"/>
      <protection locked="0"/>
    </xf>
    <xf numFmtId="0" fontId="13" fillId="2" borderId="71" xfId="0" applyFont="1" applyFill="1" applyBorder="1" applyAlignment="1">
      <alignment horizontal="center" vertical="center" shrinkToFit="1"/>
    </xf>
    <xf numFmtId="0" fontId="13" fillId="2" borderId="73" xfId="0" applyFont="1" applyFill="1" applyBorder="1" applyAlignment="1">
      <alignment horizontal="center" vertical="center" shrinkToFit="1"/>
    </xf>
    <xf numFmtId="0" fontId="13" fillId="2" borderId="18" xfId="0" applyFont="1" applyFill="1" applyBorder="1" applyAlignment="1">
      <alignment horizontal="center" vertical="center" wrapText="1"/>
    </xf>
    <xf numFmtId="0" fontId="13" fillId="2" borderId="186" xfId="0" applyFont="1" applyFill="1" applyBorder="1" applyAlignment="1">
      <alignment horizontal="center" vertical="center" wrapText="1"/>
    </xf>
    <xf numFmtId="188" fontId="13" fillId="4" borderId="107" xfId="0" applyNumberFormat="1" applyFont="1" applyFill="1" applyBorder="1" applyAlignment="1" applyProtection="1">
      <alignment horizontal="center" vertical="center" shrinkToFit="1"/>
      <protection locked="0"/>
    </xf>
    <xf numFmtId="9" fontId="13" fillId="2" borderId="108" xfId="5" applyFont="1" applyFill="1" applyBorder="1" applyAlignment="1" applyProtection="1">
      <alignment horizontal="center" vertical="center" shrinkToFit="1"/>
    </xf>
    <xf numFmtId="9" fontId="13" fillId="2" borderId="110" xfId="5" applyFont="1" applyFill="1" applyBorder="1" applyAlignment="1" applyProtection="1">
      <alignment horizontal="center" vertical="center" shrinkToFit="1"/>
    </xf>
    <xf numFmtId="9" fontId="13" fillId="2" borderId="20" xfId="5" applyFont="1" applyFill="1" applyBorder="1" applyAlignment="1" applyProtection="1">
      <alignment horizontal="center" vertical="center" shrinkToFit="1"/>
    </xf>
    <xf numFmtId="9" fontId="13" fillId="2" borderId="13" xfId="5" applyFont="1" applyFill="1" applyBorder="1" applyAlignment="1" applyProtection="1">
      <alignment horizontal="center" vertical="center" shrinkToFit="1"/>
    </xf>
    <xf numFmtId="0" fontId="13" fillId="2" borderId="18"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26" fillId="2" borderId="0" xfId="0" applyFont="1" applyFill="1" applyAlignment="1">
      <alignment horizontal="left" vertical="center" wrapText="1"/>
    </xf>
    <xf numFmtId="0" fontId="13" fillId="5" borderId="187" xfId="0" applyFont="1" applyFill="1" applyBorder="1" applyAlignment="1" applyProtection="1">
      <alignment horizontal="center" vertical="center"/>
      <protection locked="0"/>
    </xf>
    <xf numFmtId="0" fontId="13" fillId="5" borderId="507" xfId="0" applyFont="1" applyFill="1" applyBorder="1" applyAlignment="1" applyProtection="1">
      <alignment horizontal="center" vertical="center"/>
      <protection locked="0"/>
    </xf>
    <xf numFmtId="0" fontId="30" fillId="2" borderId="0" xfId="0" applyFont="1" applyFill="1" applyAlignment="1">
      <alignment horizontal="left" vertical="center"/>
    </xf>
    <xf numFmtId="188" fontId="13" fillId="5" borderId="73" xfId="0" applyNumberFormat="1" applyFont="1" applyFill="1" applyBorder="1" applyAlignment="1" applyProtection="1">
      <alignment horizontal="center" vertical="center" shrinkToFit="1"/>
      <protection locked="0"/>
    </xf>
    <xf numFmtId="186" fontId="13" fillId="2" borderId="71" xfId="0" applyNumberFormat="1" applyFont="1" applyFill="1" applyBorder="1" applyAlignment="1">
      <alignment horizontal="center" vertical="center" shrinkToFit="1"/>
    </xf>
    <xf numFmtId="186" fontId="13" fillId="2" borderId="73" xfId="0" applyNumberFormat="1" applyFont="1" applyFill="1" applyBorder="1" applyAlignment="1">
      <alignment horizontal="center" vertical="center" shrinkToFit="1"/>
    </xf>
    <xf numFmtId="0" fontId="13" fillId="0" borderId="49" xfId="0" applyFont="1" applyBorder="1" applyAlignment="1">
      <alignment horizontal="center" vertical="center"/>
    </xf>
    <xf numFmtId="0" fontId="13" fillId="0" borderId="50" xfId="0" applyFont="1" applyBorder="1" applyAlignment="1">
      <alignment horizontal="center" vertical="center"/>
    </xf>
    <xf numFmtId="186" fontId="13" fillId="2" borderId="105" xfId="0" applyNumberFormat="1" applyFont="1" applyFill="1" applyBorder="1" applyAlignment="1">
      <alignment horizontal="center" vertical="center" shrinkToFit="1"/>
    </xf>
    <xf numFmtId="186" fontId="13" fillId="2" borderId="107" xfId="0" applyNumberFormat="1" applyFont="1" applyFill="1" applyBorder="1" applyAlignment="1">
      <alignment horizontal="center" vertical="center" shrinkToFit="1"/>
    </xf>
    <xf numFmtId="190" fontId="13" fillId="2" borderId="70" xfId="0" applyNumberFormat="1" applyFont="1" applyFill="1" applyBorder="1" applyAlignment="1">
      <alignment horizontal="center" vertical="center" shrinkToFit="1"/>
    </xf>
    <xf numFmtId="0" fontId="38" fillId="2" borderId="4" xfId="0" applyFont="1" applyFill="1" applyBorder="1" applyAlignment="1">
      <alignment horizontal="center" vertical="center" wrapText="1"/>
    </xf>
    <xf numFmtId="0" fontId="38" fillId="2" borderId="4" xfId="0" applyFont="1" applyFill="1" applyBorder="1" applyAlignment="1">
      <alignment horizontal="center" vertical="center"/>
    </xf>
    <xf numFmtId="0" fontId="38" fillId="2" borderId="17" xfId="0" applyFont="1" applyFill="1" applyBorder="1" applyAlignment="1">
      <alignment horizontal="center" vertical="center"/>
    </xf>
    <xf numFmtId="188" fontId="13" fillId="5" borderId="112" xfId="0" applyNumberFormat="1" applyFont="1" applyFill="1" applyBorder="1" applyAlignment="1" applyProtection="1">
      <alignment horizontal="center" vertical="center" shrinkToFit="1"/>
      <protection locked="0"/>
    </xf>
    <xf numFmtId="0" fontId="15" fillId="2" borderId="187" xfId="0" applyFont="1" applyFill="1" applyBorder="1" applyAlignment="1">
      <alignment horizontal="center" vertical="center" shrinkToFit="1"/>
    </xf>
    <xf numFmtId="0" fontId="15" fillId="2" borderId="507" xfId="0" applyFont="1" applyFill="1" applyBorder="1" applyAlignment="1">
      <alignment horizontal="center" vertical="center" shrinkToFit="1"/>
    </xf>
    <xf numFmtId="0" fontId="15" fillId="2" borderId="16" xfId="0" applyFont="1" applyFill="1" applyBorder="1" applyAlignment="1">
      <alignment horizontal="center" vertical="center" shrinkToFit="1"/>
    </xf>
    <xf numFmtId="186" fontId="13" fillId="2" borderId="134" xfId="0" applyNumberFormat="1" applyFont="1" applyFill="1" applyBorder="1" applyAlignment="1">
      <alignment horizontal="center" vertical="center" shrinkToFit="1"/>
    </xf>
    <xf numFmtId="0" fontId="13" fillId="2" borderId="180" xfId="0" applyFont="1" applyFill="1" applyBorder="1" applyAlignment="1">
      <alignment horizontal="center" vertical="center" shrinkToFit="1"/>
    </xf>
    <xf numFmtId="9" fontId="13" fillId="2" borderId="105" xfId="5" applyFont="1" applyFill="1" applyBorder="1" applyAlignment="1" applyProtection="1">
      <alignment horizontal="center" vertical="center" shrinkToFit="1"/>
    </xf>
    <xf numFmtId="9" fontId="13" fillId="2" borderId="107" xfId="5" applyFont="1" applyFill="1" applyBorder="1" applyAlignment="1" applyProtection="1">
      <alignment horizontal="center" vertical="center" shrinkToFit="1"/>
    </xf>
    <xf numFmtId="9" fontId="13" fillId="2" borderId="71" xfId="5" applyFont="1" applyFill="1" applyBorder="1" applyAlignment="1" applyProtection="1">
      <alignment horizontal="center" vertical="center" shrinkToFit="1"/>
    </xf>
    <xf numFmtId="9" fontId="13" fillId="2" borderId="73" xfId="5" applyFont="1" applyFill="1" applyBorder="1" applyAlignment="1" applyProtection="1">
      <alignment horizontal="center" vertical="center" shrinkToFit="1"/>
    </xf>
    <xf numFmtId="188" fontId="13" fillId="5" borderId="115" xfId="0" applyNumberFormat="1" applyFont="1" applyFill="1" applyBorder="1" applyAlignment="1" applyProtection="1">
      <alignment horizontal="center" vertical="center" shrinkToFit="1"/>
      <protection locked="0"/>
    </xf>
    <xf numFmtId="186" fontId="13" fillId="2" borderId="158" xfId="0" applyNumberFormat="1" applyFont="1" applyFill="1" applyBorder="1" applyAlignment="1">
      <alignment horizontal="center" vertical="center" shrinkToFit="1"/>
    </xf>
    <xf numFmtId="0" fontId="30" fillId="0" borderId="56" xfId="0" applyFont="1" applyBorder="1" applyAlignment="1">
      <alignment horizontal="center" vertical="center" shrinkToFit="1"/>
    </xf>
    <xf numFmtId="0" fontId="30" fillId="0" borderId="122" xfId="0" applyFont="1" applyBorder="1" applyAlignment="1">
      <alignment horizontal="center" vertical="center" shrinkToFit="1"/>
    </xf>
    <xf numFmtId="190" fontId="13" fillId="2" borderId="501" xfId="0" applyNumberFormat="1" applyFont="1" applyFill="1" applyBorder="1" applyAlignment="1">
      <alignment horizontal="center" vertical="center" shrinkToFit="1"/>
    </xf>
    <xf numFmtId="188" fontId="13" fillId="4" borderId="504" xfId="0" applyNumberFormat="1" applyFont="1" applyFill="1" applyBorder="1" applyAlignment="1" applyProtection="1">
      <alignment horizontal="center" vertical="center" shrinkToFit="1"/>
      <protection locked="0"/>
    </xf>
    <xf numFmtId="188" fontId="13" fillId="4" borderId="505" xfId="0" applyNumberFormat="1" applyFont="1" applyFill="1" applyBorder="1" applyAlignment="1" applyProtection="1">
      <alignment horizontal="center" vertical="center" shrinkToFit="1"/>
      <protection locked="0"/>
    </xf>
    <xf numFmtId="0" fontId="13" fillId="0" borderId="187" xfId="0" applyFont="1" applyBorder="1" applyAlignment="1">
      <alignment horizontal="center" vertical="center"/>
    </xf>
    <xf numFmtId="0" fontId="13" fillId="0" borderId="20" xfId="0" applyFont="1" applyBorder="1" applyAlignment="1">
      <alignment horizontal="center" vertical="center"/>
    </xf>
    <xf numFmtId="0" fontId="37" fillId="2" borderId="20" xfId="0" applyFont="1" applyFill="1" applyBorder="1" applyAlignment="1">
      <alignment horizontal="left" vertical="center" wrapText="1"/>
    </xf>
    <xf numFmtId="0" fontId="37" fillId="2" borderId="10" xfId="0" applyFont="1" applyFill="1" applyBorder="1" applyAlignment="1">
      <alignment horizontal="left" vertical="center" wrapText="1"/>
    </xf>
    <xf numFmtId="0" fontId="37" fillId="2" borderId="13" xfId="0" applyFont="1" applyFill="1" applyBorder="1" applyAlignment="1">
      <alignment horizontal="left" vertical="center" wrapText="1"/>
    </xf>
    <xf numFmtId="0" fontId="13" fillId="2" borderId="187" xfId="0" applyFont="1" applyFill="1" applyBorder="1" applyAlignment="1">
      <alignment horizontal="left" vertical="center" wrapText="1"/>
    </xf>
    <xf numFmtId="0" fontId="13" fillId="2" borderId="198" xfId="0" applyFont="1" applyFill="1" applyBorder="1" applyAlignment="1">
      <alignment horizontal="left" vertical="center" wrapText="1"/>
    </xf>
    <xf numFmtId="0" fontId="30" fillId="2" borderId="45" xfId="0" applyFont="1" applyFill="1" applyBorder="1" applyAlignment="1">
      <alignment horizontal="left" vertical="center"/>
    </xf>
    <xf numFmtId="0" fontId="30" fillId="2" borderId="70" xfId="0" applyFont="1" applyFill="1" applyBorder="1" applyAlignment="1">
      <alignment horizontal="left" vertical="center"/>
    </xf>
    <xf numFmtId="0" fontId="13" fillId="2" borderId="32" xfId="0" applyFont="1" applyFill="1" applyBorder="1" applyAlignment="1">
      <alignment horizontal="center" vertical="center"/>
    </xf>
    <xf numFmtId="189" fontId="17" fillId="2" borderId="180" xfId="0" applyNumberFormat="1" applyFont="1" applyFill="1" applyBorder="1" applyAlignment="1">
      <alignment horizontal="center" vertical="center" shrinkToFit="1"/>
    </xf>
    <xf numFmtId="190" fontId="13" fillId="2" borderId="500" xfId="0" applyNumberFormat="1" applyFont="1" applyFill="1" applyBorder="1" applyAlignment="1">
      <alignment horizontal="center" vertical="center" shrinkToFit="1"/>
    </xf>
    <xf numFmtId="0" fontId="13" fillId="2" borderId="187" xfId="0" applyFont="1" applyFill="1" applyBorder="1" applyAlignment="1">
      <alignment horizontal="center" vertical="center" shrinkToFit="1"/>
    </xf>
    <xf numFmtId="0" fontId="13" fillId="2" borderId="507" xfId="0" applyFont="1" applyFill="1" applyBorder="1" applyAlignment="1">
      <alignment horizontal="center" vertical="center" shrinkToFit="1"/>
    </xf>
    <xf numFmtId="0" fontId="13" fillId="2" borderId="16" xfId="0" applyFont="1" applyFill="1" applyBorder="1" applyAlignment="1">
      <alignment horizontal="center" vertical="center" shrinkToFit="1"/>
    </xf>
    <xf numFmtId="0" fontId="13" fillId="5" borderId="152" xfId="0" applyFont="1" applyFill="1" applyBorder="1" applyAlignment="1" applyProtection="1">
      <alignment horizontal="center" vertical="center" shrinkToFit="1"/>
      <protection locked="0"/>
    </xf>
    <xf numFmtId="0" fontId="13" fillId="5" borderId="167" xfId="0" applyFont="1" applyFill="1" applyBorder="1" applyAlignment="1" applyProtection="1">
      <alignment horizontal="center" vertical="center" shrinkToFit="1"/>
      <protection locked="0"/>
    </xf>
    <xf numFmtId="0" fontId="13" fillId="6" borderId="125" xfId="0" applyFont="1" applyFill="1" applyBorder="1" applyAlignment="1" applyProtection="1">
      <alignment horizontal="center" vertical="center" wrapText="1"/>
      <protection locked="0"/>
    </xf>
    <xf numFmtId="0" fontId="30" fillId="2" borderId="19" xfId="0" applyFont="1" applyFill="1" applyBorder="1" applyAlignment="1">
      <alignment horizontal="center" vertical="center" wrapText="1"/>
    </xf>
    <xf numFmtId="0" fontId="30" fillId="2" borderId="15" xfId="0" applyFont="1" applyFill="1" applyBorder="1" applyAlignment="1">
      <alignment horizontal="center" vertical="center"/>
    </xf>
    <xf numFmtId="0" fontId="30" fillId="2" borderId="505" xfId="0" applyFont="1" applyFill="1" applyBorder="1" applyAlignment="1">
      <alignment horizontal="center" vertical="center" shrinkToFit="1"/>
    </xf>
    <xf numFmtId="0" fontId="13" fillId="2" borderId="20"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13" xfId="0" applyFont="1" applyFill="1" applyBorder="1" applyAlignment="1">
      <alignment horizontal="left" vertical="center"/>
    </xf>
    <xf numFmtId="202" fontId="30" fillId="2" borderId="531" xfId="0" applyNumberFormat="1" applyFont="1" applyFill="1" applyBorder="1" applyAlignment="1">
      <alignment horizontal="center" vertical="center" shrinkToFit="1"/>
    </xf>
    <xf numFmtId="0" fontId="30" fillId="2" borderId="514" xfId="0" applyFont="1" applyFill="1" applyBorder="1" applyAlignment="1">
      <alignment horizontal="center" vertical="center" shrinkToFit="1"/>
    </xf>
    <xf numFmtId="194" fontId="30" fillId="2" borderId="501" xfId="0" applyNumberFormat="1" applyFont="1" applyFill="1" applyBorder="1" applyAlignment="1">
      <alignment horizontal="center" vertical="center"/>
    </xf>
    <xf numFmtId="194" fontId="30" fillId="2" borderId="502" xfId="0" applyNumberFormat="1" applyFont="1" applyFill="1" applyBorder="1" applyAlignment="1">
      <alignment horizontal="center" vertical="center"/>
    </xf>
    <xf numFmtId="0" fontId="30" fillId="2" borderId="503" xfId="0" applyFont="1" applyFill="1" applyBorder="1" applyAlignment="1">
      <alignment horizontal="center" vertical="center" shrinkToFit="1"/>
    </xf>
    <xf numFmtId="0" fontId="13" fillId="6" borderId="64" xfId="0" applyFont="1" applyFill="1" applyBorder="1" applyAlignment="1" applyProtection="1">
      <alignment horizontal="center" vertical="center" wrapText="1"/>
      <protection locked="0"/>
    </xf>
    <xf numFmtId="0" fontId="13" fillId="6" borderId="65" xfId="0" applyFont="1" applyFill="1" applyBorder="1" applyAlignment="1" applyProtection="1">
      <alignment horizontal="center" vertical="center" wrapText="1"/>
      <protection locked="0"/>
    </xf>
    <xf numFmtId="0" fontId="13" fillId="6" borderId="66" xfId="0" applyFont="1" applyFill="1" applyBorder="1" applyAlignment="1" applyProtection="1">
      <alignment horizontal="center" vertical="center" wrapText="1"/>
      <protection locked="0"/>
    </xf>
    <xf numFmtId="202" fontId="30" fillId="2" borderId="530" xfId="0" applyNumberFormat="1" applyFont="1" applyFill="1" applyBorder="1" applyAlignment="1">
      <alignment horizontal="center" vertical="center" shrinkToFit="1"/>
    </xf>
    <xf numFmtId="0" fontId="13" fillId="2" borderId="45" xfId="0" applyFont="1" applyFill="1" applyBorder="1" applyAlignment="1">
      <alignment horizontal="left" vertical="center"/>
    </xf>
    <xf numFmtId="0" fontId="13" fillId="2" borderId="70"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4" xfId="0" applyFont="1" applyFill="1" applyBorder="1" applyAlignment="1">
      <alignment horizontal="left" vertical="center"/>
    </xf>
    <xf numFmtId="0" fontId="30" fillId="2" borderId="111" xfId="0" applyFont="1" applyFill="1" applyBorder="1" applyAlignment="1">
      <alignment horizontal="right" vertical="center"/>
    </xf>
    <xf numFmtId="0" fontId="30" fillId="2" borderId="112" xfId="0" applyFont="1" applyFill="1" applyBorder="1" applyAlignment="1">
      <alignment horizontal="right" vertical="center"/>
    </xf>
    <xf numFmtId="0" fontId="30" fillId="2" borderId="113" xfId="0" applyFont="1" applyFill="1" applyBorder="1" applyAlignment="1">
      <alignment horizontal="right" vertical="center"/>
    </xf>
    <xf numFmtId="0" fontId="13" fillId="2" borderId="4" xfId="0" applyFont="1" applyFill="1" applyBorder="1" applyAlignment="1">
      <alignment horizontal="center" vertical="center" shrinkToFit="1"/>
    </xf>
    <xf numFmtId="201" fontId="13" fillId="2" borderId="108" xfId="0" applyNumberFormat="1" applyFont="1" applyFill="1" applyBorder="1" applyAlignment="1">
      <alignment horizontal="center" vertical="center"/>
    </xf>
    <xf numFmtId="201" fontId="13" fillId="2" borderId="109" xfId="0" applyNumberFormat="1" applyFont="1" applyFill="1" applyBorder="1" applyAlignment="1">
      <alignment horizontal="center" vertical="center"/>
    </xf>
    <xf numFmtId="201" fontId="13" fillId="2" borderId="110" xfId="0" applyNumberFormat="1" applyFont="1" applyFill="1" applyBorder="1" applyAlignment="1">
      <alignment horizontal="center" vertical="center"/>
    </xf>
    <xf numFmtId="201" fontId="13" fillId="2" borderId="20" xfId="0" applyNumberFormat="1" applyFont="1" applyFill="1" applyBorder="1" applyAlignment="1">
      <alignment horizontal="center" vertical="center"/>
    </xf>
    <xf numFmtId="201" fontId="13" fillId="2" borderId="10" xfId="0" applyNumberFormat="1" applyFont="1" applyFill="1" applyBorder="1" applyAlignment="1">
      <alignment horizontal="center" vertical="center"/>
    </xf>
    <xf numFmtId="201" fontId="13" fillId="2" borderId="13" xfId="0" applyNumberFormat="1" applyFont="1" applyFill="1" applyBorder="1" applyAlignment="1">
      <alignment horizontal="center" vertical="center"/>
    </xf>
    <xf numFmtId="0" fontId="13" fillId="6" borderId="6" xfId="0" applyFont="1" applyFill="1" applyBorder="1" applyAlignment="1" applyProtection="1">
      <alignment horizontal="center" vertical="center"/>
      <protection locked="0"/>
    </xf>
    <xf numFmtId="0" fontId="13" fillId="2" borderId="17" xfId="0" applyFont="1" applyFill="1" applyBorder="1" applyAlignment="1">
      <alignment horizontal="center" vertical="center" wrapText="1"/>
    </xf>
    <xf numFmtId="0" fontId="13" fillId="2" borderId="21" xfId="0" applyFont="1" applyFill="1" applyBorder="1" applyAlignment="1">
      <alignment horizontal="left" vertical="center" wrapText="1" shrinkToFit="1"/>
    </xf>
    <xf numFmtId="0" fontId="13" fillId="2" borderId="15" xfId="0" applyFont="1" applyFill="1" applyBorder="1" applyAlignment="1">
      <alignment horizontal="left" vertical="center" wrapText="1" shrinkToFit="1"/>
    </xf>
    <xf numFmtId="0" fontId="13" fillId="2" borderId="45" xfId="0" applyFont="1" applyFill="1" applyBorder="1" applyAlignment="1">
      <alignment horizontal="left" vertical="center" wrapText="1"/>
    </xf>
    <xf numFmtId="0" fontId="13" fillId="2" borderId="70" xfId="0" applyFont="1" applyFill="1" applyBorder="1" applyAlignment="1">
      <alignment horizontal="left" vertical="center" wrapText="1"/>
    </xf>
    <xf numFmtId="0" fontId="13" fillId="0" borderId="21" xfId="0" applyFont="1" applyBorder="1" applyAlignment="1" applyProtection="1">
      <alignment horizontal="center" vertical="center"/>
    </xf>
    <xf numFmtId="0" fontId="13" fillId="0" borderId="0" xfId="0" applyFont="1" applyAlignment="1" applyProtection="1">
      <alignment horizontal="center" vertical="center"/>
    </xf>
    <xf numFmtId="0" fontId="13" fillId="0" borderId="15" xfId="0" applyFont="1" applyBorder="1" applyAlignment="1" applyProtection="1">
      <alignment horizontal="center" vertical="center"/>
    </xf>
    <xf numFmtId="181" fontId="13" fillId="4" borderId="4" xfId="0" applyNumberFormat="1" applyFont="1" applyFill="1" applyBorder="1" applyAlignment="1" applyProtection="1">
      <alignment horizontal="center" vertical="center" shrinkToFit="1"/>
      <protection locked="0"/>
    </xf>
    <xf numFmtId="0" fontId="13" fillId="2" borderId="99" xfId="0" applyFont="1" applyFill="1" applyBorder="1" applyAlignment="1">
      <alignment horizontal="center" vertical="center" shrinkToFit="1"/>
    </xf>
    <xf numFmtId="0" fontId="13" fillId="2" borderId="10" xfId="0" applyFont="1" applyFill="1" applyBorder="1" applyAlignment="1">
      <alignment horizontal="center" vertical="center" shrinkToFit="1"/>
    </xf>
    <xf numFmtId="0" fontId="26" fillId="2" borderId="18" xfId="0" applyFont="1" applyFill="1" applyBorder="1" applyAlignment="1">
      <alignment horizontal="left" vertical="center" shrinkToFit="1"/>
    </xf>
    <xf numFmtId="0" fontId="26" fillId="2" borderId="14" xfId="0" applyFont="1" applyFill="1" applyBorder="1" applyAlignment="1">
      <alignment horizontal="left" vertical="center" shrinkToFit="1"/>
    </xf>
    <xf numFmtId="0" fontId="13" fillId="2" borderId="98" xfId="0" applyFont="1" applyFill="1" applyBorder="1" applyAlignment="1">
      <alignment horizontal="center" vertical="center"/>
    </xf>
    <xf numFmtId="0" fontId="13" fillId="2" borderId="99" xfId="0" applyFont="1" applyFill="1" applyBorder="1" applyAlignment="1">
      <alignment horizontal="center" vertical="center"/>
    </xf>
    <xf numFmtId="0" fontId="13" fillId="2" borderId="84" xfId="0" applyFont="1" applyFill="1" applyBorder="1" applyAlignment="1">
      <alignment horizontal="center" vertical="center" shrinkToFit="1"/>
    </xf>
    <xf numFmtId="0" fontId="13" fillId="2" borderId="85" xfId="0" applyFont="1" applyFill="1" applyBorder="1" applyAlignment="1">
      <alignment horizontal="center" vertical="center" shrinkToFit="1"/>
    </xf>
    <xf numFmtId="0" fontId="13" fillId="2" borderId="86" xfId="0" applyFont="1" applyFill="1" applyBorder="1" applyAlignment="1">
      <alignment horizontal="center" vertical="center" shrinkToFit="1"/>
    </xf>
    <xf numFmtId="0" fontId="15" fillId="2" borderId="4" xfId="0" applyFont="1" applyFill="1" applyBorder="1" applyAlignment="1">
      <alignment horizontal="center" vertical="center"/>
    </xf>
    <xf numFmtId="0" fontId="13" fillId="0" borderId="18" xfId="0" applyFont="1" applyBorder="1" applyAlignment="1">
      <alignment horizontal="center" vertical="center"/>
    </xf>
    <xf numFmtId="0" fontId="15" fillId="2" borderId="18" xfId="0" applyFont="1" applyFill="1" applyBorder="1" applyAlignment="1">
      <alignment horizontal="center" vertical="center" shrinkToFit="1"/>
    </xf>
    <xf numFmtId="0" fontId="15" fillId="2" borderId="14" xfId="0" applyFont="1" applyFill="1" applyBorder="1" applyAlignment="1">
      <alignment horizontal="center" vertical="center" shrinkToFit="1"/>
    </xf>
    <xf numFmtId="0" fontId="15" fillId="2" borderId="17"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14" xfId="0" applyFont="1" applyFill="1" applyBorder="1" applyAlignment="1">
      <alignment horizontal="center" vertical="center"/>
    </xf>
    <xf numFmtId="0" fontId="13" fillId="2" borderId="17" xfId="0" applyFont="1" applyFill="1" applyBorder="1" applyAlignment="1">
      <alignment horizontal="center" vertical="center" wrapText="1" shrinkToFit="1"/>
    </xf>
    <xf numFmtId="0" fontId="13" fillId="2" borderId="18" xfId="0" applyFont="1" applyFill="1" applyBorder="1" applyAlignment="1">
      <alignment horizontal="center" vertical="center" wrapText="1" shrinkToFit="1"/>
    </xf>
    <xf numFmtId="0" fontId="13" fillId="2" borderId="14" xfId="0" applyFont="1" applyFill="1" applyBorder="1" applyAlignment="1">
      <alignment horizontal="center" vertical="center" wrapText="1" shrinkToFit="1"/>
    </xf>
    <xf numFmtId="0" fontId="13" fillId="0" borderId="40" xfId="0" applyFont="1" applyBorder="1" applyAlignment="1">
      <alignment horizontal="center" vertical="center"/>
    </xf>
    <xf numFmtId="0" fontId="13" fillId="0" borderId="42" xfId="0" applyFont="1" applyBorder="1" applyAlignment="1">
      <alignment horizontal="center" vertical="center"/>
    </xf>
    <xf numFmtId="0" fontId="13" fillId="2" borderId="97" xfId="0" applyFont="1" applyFill="1" applyBorder="1" applyAlignment="1">
      <alignment horizontal="center" vertical="center"/>
    </xf>
    <xf numFmtId="0" fontId="13" fillId="2" borderId="74" xfId="0" applyFont="1" applyFill="1" applyBorder="1" applyAlignment="1">
      <alignment horizontal="center" vertical="center"/>
    </xf>
    <xf numFmtId="0" fontId="13" fillId="2" borderId="74" xfId="0" applyFont="1" applyFill="1" applyBorder="1" applyAlignment="1">
      <alignment horizontal="center" vertical="center" shrinkToFit="1"/>
    </xf>
    <xf numFmtId="0" fontId="13" fillId="0" borderId="14" xfId="0" applyFont="1" applyBorder="1" applyAlignment="1">
      <alignment horizontal="center" vertical="center"/>
    </xf>
    <xf numFmtId="0" fontId="13" fillId="0" borderId="17" xfId="0" applyFont="1" applyBorder="1" applyAlignment="1">
      <alignment horizontal="center" vertical="center" shrinkToFit="1"/>
    </xf>
    <xf numFmtId="0" fontId="13" fillId="0" borderId="18" xfId="0" applyFont="1" applyBorder="1" applyAlignment="1">
      <alignment horizontal="center" vertical="center" shrinkToFit="1"/>
    </xf>
    <xf numFmtId="0" fontId="30" fillId="2" borderId="18" xfId="0" applyFont="1" applyFill="1" applyBorder="1" applyAlignment="1">
      <alignment horizontal="left" vertical="center" wrapText="1"/>
    </xf>
    <xf numFmtId="0" fontId="30" fillId="2" borderId="14" xfId="0" applyFont="1" applyFill="1" applyBorder="1" applyAlignment="1">
      <alignment horizontal="left" vertical="center" wrapText="1"/>
    </xf>
    <xf numFmtId="0" fontId="33" fillId="2" borderId="0" xfId="0" applyFont="1" applyFill="1">
      <alignment vertical="center"/>
    </xf>
    <xf numFmtId="0" fontId="30" fillId="6" borderId="17" xfId="0" applyFont="1" applyFill="1" applyBorder="1" applyAlignment="1" applyProtection="1">
      <alignment horizontal="center" vertical="center"/>
      <protection locked="0"/>
    </xf>
    <xf numFmtId="0" fontId="30" fillId="6" borderId="18" xfId="0" applyFont="1" applyFill="1" applyBorder="1" applyAlignment="1" applyProtection="1">
      <alignment horizontal="center" vertical="center"/>
      <protection locked="0"/>
    </xf>
    <xf numFmtId="0" fontId="30" fillId="6" borderId="14" xfId="0" applyFont="1" applyFill="1" applyBorder="1" applyAlignment="1" applyProtection="1">
      <alignment horizontal="center" vertical="center"/>
      <protection locked="0"/>
    </xf>
    <xf numFmtId="0" fontId="13" fillId="2" borderId="108" xfId="0" applyFont="1" applyFill="1" applyBorder="1" applyAlignment="1">
      <alignment horizontal="center" vertical="center" wrapText="1"/>
    </xf>
    <xf numFmtId="0" fontId="13" fillId="2" borderId="109" xfId="0" applyFont="1" applyFill="1" applyBorder="1" applyAlignment="1">
      <alignment horizontal="center" vertical="center" wrapText="1"/>
    </xf>
    <xf numFmtId="0" fontId="13" fillId="2" borderId="110" xfId="0" applyFont="1" applyFill="1" applyBorder="1" applyAlignment="1">
      <alignment horizontal="center" vertical="center" wrapText="1"/>
    </xf>
    <xf numFmtId="0" fontId="30" fillId="2" borderId="88" xfId="0" applyFont="1" applyFill="1" applyBorder="1" applyAlignment="1">
      <alignment horizontal="left" vertical="center" wrapText="1"/>
    </xf>
    <xf numFmtId="0" fontId="30" fillId="2" borderId="89" xfId="0" applyFont="1" applyFill="1" applyBorder="1" applyAlignment="1">
      <alignment horizontal="left" vertical="center" wrapText="1"/>
    </xf>
    <xf numFmtId="0" fontId="13" fillId="6" borderId="87" xfId="0" applyFont="1" applyFill="1" applyBorder="1" applyAlignment="1" applyProtection="1">
      <alignment horizontal="center" vertical="center" wrapText="1"/>
      <protection locked="0"/>
    </xf>
    <xf numFmtId="0" fontId="13" fillId="6" borderId="88" xfId="0" applyFont="1" applyFill="1" applyBorder="1" applyAlignment="1" applyProtection="1">
      <alignment horizontal="center" vertical="center" wrapText="1"/>
      <protection locked="0"/>
    </xf>
    <xf numFmtId="0" fontId="13" fillId="6" borderId="89" xfId="0" applyFont="1" applyFill="1" applyBorder="1" applyAlignment="1" applyProtection="1">
      <alignment horizontal="center" vertical="center" wrapText="1"/>
      <protection locked="0"/>
    </xf>
    <xf numFmtId="0" fontId="30" fillId="2" borderId="0" xfId="0" applyFont="1" applyFill="1" applyAlignment="1">
      <alignment horizontal="left" vertical="center" wrapText="1"/>
    </xf>
    <xf numFmtId="0" fontId="30" fillId="2" borderId="15" xfId="0" applyFont="1" applyFill="1" applyBorder="1" applyAlignment="1">
      <alignment horizontal="left" vertical="center" wrapText="1"/>
    </xf>
    <xf numFmtId="0" fontId="13" fillId="2" borderId="535" xfId="0" applyFont="1" applyFill="1" applyBorder="1" applyAlignment="1">
      <alignment horizontal="center" vertical="center" wrapText="1"/>
    </xf>
    <xf numFmtId="0" fontId="13" fillId="2" borderId="21" xfId="0" applyFont="1" applyFill="1" applyBorder="1" applyAlignment="1">
      <alignment horizontal="left" vertical="center" shrinkToFit="1"/>
    </xf>
    <xf numFmtId="0" fontId="13" fillId="2" borderId="0" xfId="0" applyFont="1" applyFill="1" applyAlignment="1">
      <alignment horizontal="left" vertical="center" shrinkToFit="1"/>
    </xf>
    <xf numFmtId="0" fontId="13" fillId="2" borderId="15" xfId="0" applyFont="1" applyFill="1" applyBorder="1" applyAlignment="1">
      <alignment horizontal="left" vertical="center" shrinkToFit="1"/>
    </xf>
    <xf numFmtId="195" fontId="30" fillId="2" borderId="114" xfId="0" applyNumberFormat="1" applyFont="1" applyFill="1" applyBorder="1" applyAlignment="1">
      <alignment horizontal="center" vertical="center"/>
    </xf>
    <xf numFmtId="195" fontId="30" fillId="2" borderId="112" xfId="0" applyNumberFormat="1" applyFont="1" applyFill="1" applyBorder="1" applyAlignment="1">
      <alignment horizontal="center" vertical="center"/>
    </xf>
    <xf numFmtId="195" fontId="30" fillId="2" borderId="115" xfId="0" applyNumberFormat="1" applyFont="1" applyFill="1" applyBorder="1" applyAlignment="1">
      <alignment horizontal="center" vertical="center"/>
    </xf>
    <xf numFmtId="0" fontId="13" fillId="6" borderId="108" xfId="0" applyFont="1" applyFill="1" applyBorder="1" applyAlignment="1" applyProtection="1">
      <alignment horizontal="center" vertical="center"/>
      <protection locked="0"/>
    </xf>
    <xf numFmtId="0" fontId="13" fillId="6" borderId="109" xfId="0" applyFont="1" applyFill="1" applyBorder="1" applyAlignment="1" applyProtection="1">
      <alignment horizontal="center" vertical="center"/>
      <protection locked="0"/>
    </xf>
    <xf numFmtId="0" fontId="13" fillId="6" borderId="110" xfId="0" applyFont="1" applyFill="1" applyBorder="1" applyAlignment="1" applyProtection="1">
      <alignment horizontal="center" vertical="center"/>
      <protection locked="0"/>
    </xf>
    <xf numFmtId="0" fontId="36" fillId="2" borderId="36" xfId="0" applyFont="1" applyFill="1" applyBorder="1" applyAlignment="1">
      <alignment horizontal="center" vertical="center"/>
    </xf>
    <xf numFmtId="0" fontId="36" fillId="2" borderId="0" xfId="0" applyFont="1" applyFill="1" applyAlignment="1">
      <alignment horizontal="center" vertical="center"/>
    </xf>
    <xf numFmtId="179" fontId="13" fillId="2" borderId="0" xfId="0" applyNumberFormat="1" applyFont="1" applyFill="1" applyAlignment="1">
      <alignment horizontal="distributed" vertical="center"/>
    </xf>
    <xf numFmtId="0" fontId="18" fillId="2" borderId="36" xfId="0" applyFont="1" applyFill="1" applyBorder="1" applyAlignment="1">
      <alignment horizontal="left" vertical="center"/>
    </xf>
    <xf numFmtId="0" fontId="18" fillId="2" borderId="34" xfId="0" applyFont="1" applyFill="1" applyBorder="1" applyAlignment="1">
      <alignment horizontal="left" vertical="center"/>
    </xf>
    <xf numFmtId="0" fontId="13" fillId="0" borderId="19" xfId="0" applyFont="1" applyBorder="1" applyAlignment="1">
      <alignment horizontal="center" vertical="center" shrinkToFit="1"/>
    </xf>
    <xf numFmtId="0" fontId="13" fillId="0" borderId="32" xfId="0" applyFont="1" applyBorder="1" applyAlignment="1">
      <alignment horizontal="center" vertical="center" shrinkToFit="1"/>
    </xf>
    <xf numFmtId="0" fontId="15" fillId="2" borderId="17" xfId="0" applyFont="1" applyFill="1" applyBorder="1" applyAlignment="1">
      <alignment horizontal="center" vertical="center" wrapText="1" shrinkToFit="1"/>
    </xf>
    <xf numFmtId="0" fontId="15" fillId="2" borderId="18" xfId="0" applyFont="1" applyFill="1" applyBorder="1" applyAlignment="1">
      <alignment horizontal="center" vertical="center" wrapText="1" shrinkToFit="1"/>
    </xf>
    <xf numFmtId="0" fontId="15" fillId="2" borderId="14" xfId="0" applyFont="1" applyFill="1" applyBorder="1" applyAlignment="1">
      <alignment horizontal="center" vertical="center" wrapText="1" shrinkToFit="1"/>
    </xf>
    <xf numFmtId="188" fontId="13" fillId="4" borderId="503" xfId="0" applyNumberFormat="1" applyFont="1" applyFill="1" applyBorder="1" applyAlignment="1" applyProtection="1">
      <alignment horizontal="center" vertical="center" shrinkToFit="1"/>
      <protection locked="0"/>
    </xf>
    <xf numFmtId="0" fontId="10" fillId="2" borderId="4" xfId="0" applyFont="1" applyFill="1" applyBorder="1" applyAlignment="1">
      <alignment horizontal="center" vertical="center" wrapText="1"/>
    </xf>
    <xf numFmtId="0" fontId="13" fillId="2" borderId="198" xfId="0" applyFont="1" applyFill="1" applyBorder="1" applyAlignment="1">
      <alignment horizontal="center" vertical="center" wrapText="1"/>
    </xf>
    <xf numFmtId="0" fontId="13" fillId="0" borderId="109" xfId="0" applyFont="1" applyBorder="1" applyAlignment="1">
      <alignment horizontal="center" vertical="center" wrapText="1"/>
    </xf>
    <xf numFmtId="0" fontId="13" fillId="0" borderId="110" xfId="0" applyFont="1" applyBorder="1" applyAlignment="1">
      <alignment horizontal="center" vertical="center" wrapText="1"/>
    </xf>
    <xf numFmtId="0" fontId="13" fillId="6" borderId="14" xfId="0" applyFont="1" applyFill="1" applyBorder="1" applyAlignment="1" applyProtection="1">
      <alignment horizontal="center" vertical="center"/>
      <protection locked="0"/>
    </xf>
    <xf numFmtId="0" fontId="13" fillId="2" borderId="186" xfId="0" applyFont="1" applyFill="1" applyBorder="1" applyAlignment="1">
      <alignment horizontal="left" vertical="center" shrinkToFit="1"/>
    </xf>
    <xf numFmtId="0" fontId="42" fillId="2" borderId="17" xfId="0" applyFont="1" applyFill="1" applyBorder="1" applyAlignment="1">
      <alignment horizontal="left" vertical="center" shrinkToFit="1"/>
    </xf>
    <xf numFmtId="0" fontId="42" fillId="2" borderId="18" xfId="0" applyFont="1" applyFill="1" applyBorder="1" applyAlignment="1">
      <alignment horizontal="left" vertical="center" shrinkToFit="1"/>
    </xf>
    <xf numFmtId="0" fontId="42" fillId="2" borderId="14" xfId="0" applyFont="1" applyFill="1" applyBorder="1" applyAlignment="1">
      <alignment horizontal="left" vertical="center" shrinkToFit="1"/>
    </xf>
    <xf numFmtId="0" fontId="13" fillId="2" borderId="109" xfId="0" applyFont="1" applyFill="1" applyBorder="1" applyAlignment="1">
      <alignment horizontal="center" vertical="center" shrinkToFit="1"/>
    </xf>
    <xf numFmtId="0" fontId="13" fillId="2" borderId="91" xfId="0" applyFont="1" applyFill="1" applyBorder="1" applyAlignment="1">
      <alignment horizontal="center" vertical="center" shrinkToFit="1"/>
    </xf>
    <xf numFmtId="0" fontId="13" fillId="2" borderId="91" xfId="0" applyFont="1" applyFill="1" applyBorder="1" applyAlignment="1">
      <alignment horizontal="left" vertical="center" shrinkToFit="1"/>
    </xf>
    <xf numFmtId="0" fontId="13" fillId="2" borderId="92" xfId="0" applyFont="1" applyFill="1" applyBorder="1" applyAlignment="1">
      <alignment horizontal="left" vertical="center" shrinkToFit="1"/>
    </xf>
    <xf numFmtId="0" fontId="13" fillId="6" borderId="90" xfId="0" applyFont="1" applyFill="1" applyBorder="1" applyAlignment="1" applyProtection="1">
      <alignment horizontal="center" vertical="center" wrapText="1"/>
      <protection locked="0"/>
    </xf>
    <xf numFmtId="0" fontId="13" fillId="6" borderId="91" xfId="0" applyFont="1" applyFill="1" applyBorder="1" applyAlignment="1" applyProtection="1">
      <alignment horizontal="center" vertical="center" wrapText="1"/>
      <protection locked="0"/>
    </xf>
    <xf numFmtId="0" fontId="13" fillId="6" borderId="92" xfId="0" applyFont="1" applyFill="1" applyBorder="1" applyAlignment="1" applyProtection="1">
      <alignment horizontal="center" vertical="center" wrapText="1"/>
      <protection locked="0"/>
    </xf>
    <xf numFmtId="181" fontId="13" fillId="2" borderId="19" xfId="0" applyNumberFormat="1" applyFont="1" applyFill="1" applyBorder="1" applyAlignment="1">
      <alignment horizontal="left" vertical="center" wrapText="1" shrinkToFit="1"/>
    </xf>
    <xf numFmtId="181" fontId="13" fillId="2" borderId="32" xfId="0" applyNumberFormat="1" applyFont="1" applyFill="1" applyBorder="1" applyAlignment="1">
      <alignment horizontal="left" vertical="center" wrapText="1" shrinkToFit="1"/>
    </xf>
    <xf numFmtId="181" fontId="13" fillId="2" borderId="16" xfId="0" applyNumberFormat="1" applyFont="1" applyFill="1" applyBorder="1" applyAlignment="1">
      <alignment horizontal="left" vertical="center" wrapText="1" shrinkToFit="1"/>
    </xf>
    <xf numFmtId="181" fontId="13" fillId="2" borderId="21" xfId="0" applyNumberFormat="1" applyFont="1" applyFill="1" applyBorder="1" applyAlignment="1">
      <alignment horizontal="left" vertical="center" wrapText="1" shrinkToFit="1"/>
    </xf>
    <xf numFmtId="181" fontId="13" fillId="2" borderId="0" xfId="0" applyNumberFormat="1" applyFont="1" applyFill="1" applyAlignment="1">
      <alignment horizontal="left" vertical="center" wrapText="1" shrinkToFit="1"/>
    </xf>
    <xf numFmtId="181" fontId="13" fillId="2" borderId="15" xfId="0" applyNumberFormat="1" applyFont="1" applyFill="1" applyBorder="1" applyAlignment="1">
      <alignment horizontal="left" vertical="center" wrapText="1" shrinkToFit="1"/>
    </xf>
    <xf numFmtId="181" fontId="13" fillId="2" borderId="20" xfId="0" applyNumberFormat="1" applyFont="1" applyFill="1" applyBorder="1" applyAlignment="1">
      <alignment horizontal="left" vertical="center" wrapText="1" shrinkToFit="1"/>
    </xf>
    <xf numFmtId="181" fontId="13" fillId="2" borderId="10" xfId="0" applyNumberFormat="1" applyFont="1" applyFill="1" applyBorder="1" applyAlignment="1">
      <alignment horizontal="left" vertical="center" wrapText="1" shrinkToFit="1"/>
    </xf>
    <xf numFmtId="181" fontId="13" fillId="2" borderId="13" xfId="0" applyNumberFormat="1" applyFont="1" applyFill="1" applyBorder="1" applyAlignment="1">
      <alignment horizontal="left" vertical="center" wrapText="1" shrinkToFit="1"/>
    </xf>
    <xf numFmtId="0" fontId="13" fillId="6" borderId="189" xfId="0" applyFont="1" applyFill="1" applyBorder="1" applyAlignment="1" applyProtection="1">
      <alignment horizontal="center" vertical="center"/>
      <protection locked="0"/>
    </xf>
    <xf numFmtId="0" fontId="13" fillId="6" borderId="169" xfId="0" applyFont="1" applyFill="1" applyBorder="1" applyAlignment="1" applyProtection="1">
      <alignment horizontal="center" vertical="center"/>
      <protection locked="0"/>
    </xf>
    <xf numFmtId="0" fontId="13" fillId="6" borderId="170" xfId="0" applyFont="1" applyFill="1" applyBorder="1" applyAlignment="1" applyProtection="1">
      <alignment horizontal="center" vertical="center"/>
      <protection locked="0"/>
    </xf>
    <xf numFmtId="0" fontId="13" fillId="2" borderId="116" xfId="0" applyFont="1" applyFill="1" applyBorder="1" applyAlignment="1">
      <alignment horizontal="center" vertical="center"/>
    </xf>
    <xf numFmtId="0" fontId="13" fillId="2" borderId="152" xfId="0" applyFont="1" applyFill="1" applyBorder="1" applyAlignment="1">
      <alignment horizontal="center" vertical="center"/>
    </xf>
    <xf numFmtId="0" fontId="13" fillId="2" borderId="153" xfId="0" applyFont="1" applyFill="1" applyBorder="1" applyAlignment="1">
      <alignment horizontal="center" vertical="center"/>
    </xf>
    <xf numFmtId="0" fontId="13" fillId="2" borderId="155" xfId="0" applyFont="1" applyFill="1" applyBorder="1" applyAlignment="1">
      <alignment horizontal="center" vertical="center"/>
    </xf>
    <xf numFmtId="0" fontId="13" fillId="2" borderId="156" xfId="0" applyFont="1" applyFill="1" applyBorder="1" applyAlignment="1">
      <alignment horizontal="center" vertical="center"/>
    </xf>
    <xf numFmtId="0" fontId="30" fillId="2" borderId="153" xfId="0" applyFont="1" applyFill="1" applyBorder="1" applyAlignment="1">
      <alignment horizontal="center" vertical="center"/>
    </xf>
    <xf numFmtId="0" fontId="30" fillId="2" borderId="154" xfId="0" applyFont="1" applyFill="1" applyBorder="1" applyAlignment="1">
      <alignment horizontal="center" vertical="center"/>
    </xf>
    <xf numFmtId="0" fontId="30" fillId="2" borderId="156" xfId="0" applyFont="1" applyFill="1" applyBorder="1" applyAlignment="1">
      <alignment horizontal="center" vertical="center"/>
    </xf>
    <xf numFmtId="0" fontId="30" fillId="2" borderId="157" xfId="0" applyFont="1" applyFill="1" applyBorder="1" applyAlignment="1">
      <alignment horizontal="center" vertical="center"/>
    </xf>
    <xf numFmtId="0" fontId="30" fillId="2" borderId="153" xfId="0" applyFont="1" applyFill="1" applyBorder="1" applyAlignment="1">
      <alignment horizontal="left" vertical="center"/>
    </xf>
    <xf numFmtId="0" fontId="30" fillId="2" borderId="156" xfId="0" applyFont="1" applyFill="1" applyBorder="1" applyAlignment="1">
      <alignment horizontal="left" vertical="center"/>
    </xf>
    <xf numFmtId="0" fontId="46" fillId="2" borderId="19" xfId="0" applyFont="1" applyFill="1" applyBorder="1" applyAlignment="1">
      <alignment horizontal="center" vertical="center" wrapText="1"/>
    </xf>
    <xf numFmtId="0" fontId="46" fillId="2" borderId="32" xfId="0" applyFont="1" applyFill="1" applyBorder="1" applyAlignment="1">
      <alignment horizontal="center" vertical="center"/>
    </xf>
    <xf numFmtId="0" fontId="46" fillId="2" borderId="21" xfId="0" applyFont="1" applyFill="1" applyBorder="1" applyAlignment="1">
      <alignment horizontal="center" vertical="center"/>
    </xf>
    <xf numFmtId="0" fontId="46" fillId="2" borderId="0" xfId="0" applyFont="1" applyFill="1" applyAlignment="1">
      <alignment horizontal="center" vertical="center"/>
    </xf>
    <xf numFmtId="0" fontId="46" fillId="2" borderId="15" xfId="0" applyFont="1" applyFill="1" applyBorder="1" applyAlignment="1">
      <alignment horizontal="center" vertical="center"/>
    </xf>
    <xf numFmtId="0" fontId="46" fillId="2" borderId="20" xfId="0" applyFont="1" applyFill="1" applyBorder="1" applyAlignment="1">
      <alignment horizontal="center" vertical="center"/>
    </xf>
    <xf numFmtId="0" fontId="46" fillId="2" borderId="10" xfId="0" applyFont="1" applyFill="1" applyBorder="1" applyAlignment="1">
      <alignment horizontal="center" vertical="center"/>
    </xf>
    <xf numFmtId="0" fontId="46" fillId="2" borderId="13" xfId="0" applyFont="1" applyFill="1" applyBorder="1" applyAlignment="1">
      <alignment horizontal="center" vertical="center"/>
    </xf>
    <xf numFmtId="0" fontId="30" fillId="2" borderId="18" xfId="0" applyFont="1" applyFill="1" applyBorder="1" applyAlignment="1">
      <alignment horizontal="left" vertical="center"/>
    </xf>
    <xf numFmtId="0" fontId="30" fillId="2" borderId="32" xfId="0" applyFont="1" applyFill="1" applyBorder="1" applyAlignment="1">
      <alignment horizontal="left" vertical="center" wrapText="1"/>
    </xf>
    <xf numFmtId="0" fontId="30" fillId="2" borderId="16" xfId="0" applyFont="1" applyFill="1" applyBorder="1" applyAlignment="1">
      <alignment horizontal="left" vertical="center" wrapText="1"/>
    </xf>
    <xf numFmtId="201" fontId="30" fillId="2" borderId="19" xfId="0" applyNumberFormat="1" applyFont="1" applyFill="1" applyBorder="1" applyAlignment="1">
      <alignment horizontal="center" vertical="center"/>
    </xf>
    <xf numFmtId="201" fontId="30" fillId="2" borderId="32" xfId="0" applyNumberFormat="1" applyFont="1" applyFill="1" applyBorder="1" applyAlignment="1">
      <alignment horizontal="center" vertical="center"/>
    </xf>
    <xf numFmtId="201" fontId="30" fillId="2" borderId="16" xfId="0" applyNumberFormat="1" applyFont="1" applyFill="1" applyBorder="1" applyAlignment="1">
      <alignment horizontal="center" vertical="center"/>
    </xf>
    <xf numFmtId="0" fontId="18" fillId="0" borderId="40" xfId="0" applyFont="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30" fillId="2" borderId="187" xfId="0" applyFont="1" applyFill="1" applyBorder="1" applyAlignment="1">
      <alignment horizontal="left" vertical="center"/>
    </xf>
    <xf numFmtId="0" fontId="30" fillId="2" borderId="20" xfId="0" applyFont="1" applyFill="1" applyBorder="1" applyAlignment="1">
      <alignment horizontal="left" vertical="center"/>
    </xf>
    <xf numFmtId="0" fontId="30" fillId="2" borderId="10" xfId="0" applyFont="1" applyFill="1" applyBorder="1" applyAlignment="1">
      <alignment horizontal="left" vertical="center"/>
    </xf>
    <xf numFmtId="0" fontId="30" fillId="2" borderId="13" xfId="0" applyFont="1" applyFill="1" applyBorder="1" applyAlignment="1">
      <alignment horizontal="left" vertical="center"/>
    </xf>
    <xf numFmtId="0" fontId="30" fillId="2" borderId="186"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13" fillId="0" borderId="20"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30" fillId="2" borderId="108" xfId="0" applyFont="1" applyFill="1" applyBorder="1" applyAlignment="1">
      <alignment horizontal="center" vertical="center" wrapText="1"/>
    </xf>
    <xf numFmtId="0" fontId="30" fillId="2" borderId="124" xfId="0" applyFont="1" applyFill="1" applyBorder="1" applyAlignment="1">
      <alignment horizontal="center" vertical="center" wrapText="1"/>
    </xf>
    <xf numFmtId="0" fontId="30" fillId="2" borderId="72" xfId="0" applyFont="1" applyFill="1" applyBorder="1" applyAlignment="1">
      <alignment horizontal="left" vertical="center" wrapText="1"/>
    </xf>
    <xf numFmtId="0" fontId="30" fillId="2" borderId="73" xfId="0" applyFont="1" applyFill="1" applyBorder="1" applyAlignment="1">
      <alignment horizontal="left" vertical="center" wrapText="1"/>
    </xf>
    <xf numFmtId="0" fontId="30" fillId="2" borderId="169" xfId="0" applyFont="1" applyFill="1" applyBorder="1" applyAlignment="1">
      <alignment horizontal="left" vertical="center" wrapText="1"/>
    </xf>
    <xf numFmtId="0" fontId="30" fillId="2" borderId="170" xfId="0" applyFont="1" applyFill="1" applyBorder="1" applyAlignment="1">
      <alignment horizontal="left" vertical="center" wrapText="1"/>
    </xf>
    <xf numFmtId="201" fontId="30" fillId="2" borderId="72" xfId="0" applyNumberFormat="1" applyFont="1" applyFill="1" applyBorder="1" applyAlignment="1">
      <alignment horizontal="center" vertical="center"/>
    </xf>
    <xf numFmtId="201" fontId="30" fillId="2" borderId="73" xfId="0" applyNumberFormat="1" applyFont="1" applyFill="1" applyBorder="1" applyAlignment="1">
      <alignment horizontal="center" vertical="center"/>
    </xf>
    <xf numFmtId="0" fontId="30" fillId="2" borderId="72" xfId="0" applyFont="1" applyFill="1" applyBorder="1" applyAlignment="1">
      <alignment horizontal="center" vertical="center" wrapText="1"/>
    </xf>
    <xf numFmtId="0" fontId="30" fillId="2" borderId="405" xfId="0" applyFont="1" applyFill="1" applyBorder="1" applyAlignment="1">
      <alignment horizontal="center" vertical="center" shrinkToFit="1"/>
    </xf>
    <xf numFmtId="0" fontId="30" fillId="2" borderId="237" xfId="0" applyFont="1" applyFill="1" applyBorder="1" applyAlignment="1">
      <alignment horizontal="center" vertical="center" wrapText="1"/>
    </xf>
    <xf numFmtId="0" fontId="30" fillId="2" borderId="193" xfId="0" applyFont="1" applyFill="1" applyBorder="1" applyAlignment="1">
      <alignment horizontal="center" vertical="center" wrapText="1"/>
    </xf>
    <xf numFmtId="0" fontId="30" fillId="2" borderId="494" xfId="0" applyFont="1" applyFill="1" applyBorder="1" applyAlignment="1">
      <alignment horizontal="center" vertical="center" wrapText="1"/>
    </xf>
    <xf numFmtId="0" fontId="13" fillId="2" borderId="87" xfId="0" applyFont="1" applyFill="1" applyBorder="1" applyAlignment="1">
      <alignment horizontal="center" vertical="center" wrapText="1"/>
    </xf>
    <xf numFmtId="0" fontId="13" fillId="2" borderId="88" xfId="0" applyFont="1" applyFill="1" applyBorder="1" applyAlignment="1">
      <alignment horizontal="center" vertical="center" wrapText="1"/>
    </xf>
    <xf numFmtId="0" fontId="13" fillId="2" borderId="89" xfId="0" applyFont="1" applyFill="1" applyBorder="1" applyAlignment="1">
      <alignment horizontal="center" vertical="center" wrapText="1"/>
    </xf>
    <xf numFmtId="0" fontId="30" fillId="2" borderId="188" xfId="0" applyFont="1" applyFill="1" applyBorder="1" applyAlignment="1">
      <alignment horizontal="center" vertical="center" wrapText="1"/>
    </xf>
    <xf numFmtId="201" fontId="30" fillId="2" borderId="71" xfId="0" applyNumberFormat="1" applyFont="1" applyFill="1" applyBorder="1" applyAlignment="1">
      <alignment horizontal="center" vertical="center"/>
    </xf>
    <xf numFmtId="194" fontId="30" fillId="2" borderId="500" xfId="0" applyNumberFormat="1" applyFont="1" applyFill="1" applyBorder="1" applyAlignment="1">
      <alignment horizontal="center" vertical="center"/>
    </xf>
    <xf numFmtId="0" fontId="30" fillId="2" borderId="70" xfId="0" applyFont="1" applyFill="1" applyBorder="1" applyAlignment="1">
      <alignment horizontal="left" vertical="center" wrapText="1"/>
    </xf>
    <xf numFmtId="0" fontId="13" fillId="2" borderId="69" xfId="0" applyFont="1" applyFill="1" applyBorder="1" applyAlignment="1">
      <alignment horizontal="center" vertical="center"/>
    </xf>
    <xf numFmtId="0" fontId="13" fillId="2" borderId="45" xfId="0" applyFont="1" applyFill="1" applyBorder="1" applyAlignment="1">
      <alignment horizontal="center" vertical="center"/>
    </xf>
    <xf numFmtId="0" fontId="13" fillId="2" borderId="70" xfId="0" applyFont="1" applyFill="1" applyBorder="1" applyAlignment="1">
      <alignment horizontal="center" vertical="center"/>
    </xf>
    <xf numFmtId="0" fontId="13" fillId="2" borderId="109" xfId="0" applyFont="1" applyFill="1" applyBorder="1" applyAlignment="1">
      <alignment horizontal="left" vertical="center" wrapText="1"/>
    </xf>
    <xf numFmtId="0" fontId="13" fillId="2" borderId="110" xfId="0" applyFont="1" applyFill="1" applyBorder="1" applyAlignment="1">
      <alignment horizontal="left" vertical="center" wrapText="1"/>
    </xf>
    <xf numFmtId="180" fontId="13" fillId="2" borderId="71" xfId="0" applyNumberFormat="1" applyFont="1" applyFill="1" applyBorder="1" applyAlignment="1">
      <alignment horizontal="center" vertical="center"/>
    </xf>
    <xf numFmtId="180" fontId="13" fillId="2" borderId="72" xfId="0" applyNumberFormat="1" applyFont="1" applyFill="1" applyBorder="1" applyAlignment="1">
      <alignment horizontal="center" vertical="center"/>
    </xf>
    <xf numFmtId="180" fontId="13" fillId="2" borderId="73" xfId="0" applyNumberFormat="1" applyFont="1" applyFill="1" applyBorder="1" applyAlignment="1">
      <alignment horizontal="center" vertical="center"/>
    </xf>
    <xf numFmtId="0" fontId="13" fillId="2" borderId="181" xfId="0" applyFont="1" applyFill="1" applyBorder="1" applyAlignment="1">
      <alignment horizontal="center" vertical="center"/>
    </xf>
    <xf numFmtId="0" fontId="13" fillId="2" borderId="181" xfId="0" applyFont="1" applyFill="1" applyBorder="1" applyAlignment="1">
      <alignment horizontal="left" vertical="center" wrapText="1"/>
    </xf>
    <xf numFmtId="0" fontId="13" fillId="5" borderId="475" xfId="0" applyFont="1" applyFill="1" applyBorder="1" applyAlignment="1" applyProtection="1">
      <alignment horizontal="center" vertical="center" shrinkToFit="1"/>
      <protection locked="0"/>
    </xf>
    <xf numFmtId="0" fontId="13" fillId="5" borderId="168" xfId="0" applyFont="1" applyFill="1" applyBorder="1" applyAlignment="1" applyProtection="1">
      <alignment horizontal="center" vertical="center" shrinkToFit="1"/>
      <protection locked="0"/>
    </xf>
    <xf numFmtId="0" fontId="30" fillId="2" borderId="109" xfId="0" applyFont="1" applyFill="1" applyBorder="1" applyAlignment="1">
      <alignment horizontal="left" vertical="center" wrapText="1"/>
    </xf>
    <xf numFmtId="0" fontId="13" fillId="2" borderId="110" xfId="0" applyFont="1" applyFill="1" applyBorder="1" applyAlignment="1">
      <alignment horizontal="center" vertical="center"/>
    </xf>
    <xf numFmtId="0" fontId="13" fillId="2" borderId="196" xfId="0" applyFont="1" applyFill="1" applyBorder="1" applyAlignment="1">
      <alignment horizontal="center" vertical="center"/>
    </xf>
    <xf numFmtId="0" fontId="13" fillId="2" borderId="191" xfId="0" applyFont="1" applyFill="1" applyBorder="1" applyAlignment="1">
      <alignment horizontal="center" vertical="center"/>
    </xf>
    <xf numFmtId="0" fontId="30" fillId="2" borderId="139" xfId="0" applyFont="1" applyFill="1" applyBorder="1" applyAlignment="1">
      <alignment horizontal="left" vertical="center" wrapText="1"/>
    </xf>
    <xf numFmtId="0" fontId="30" fillId="2" borderId="140" xfId="0" applyFont="1" applyFill="1" applyBorder="1" applyAlignment="1">
      <alignment horizontal="left" vertical="center" wrapText="1"/>
    </xf>
    <xf numFmtId="0" fontId="13" fillId="2" borderId="153" xfId="0" applyFont="1" applyFill="1" applyBorder="1" applyAlignment="1">
      <alignment horizontal="center" vertical="center" wrapText="1"/>
    </xf>
    <xf numFmtId="0" fontId="13" fillId="2" borderId="233" xfId="0" applyFont="1" applyFill="1" applyBorder="1" applyAlignment="1">
      <alignment horizontal="center" vertical="center" wrapText="1"/>
    </xf>
    <xf numFmtId="0" fontId="13" fillId="2" borderId="234" xfId="0" applyFont="1" applyFill="1" applyBorder="1" applyAlignment="1">
      <alignment horizontal="center" vertical="center" wrapText="1"/>
    </xf>
    <xf numFmtId="0" fontId="13" fillId="2" borderId="65" xfId="0" applyFont="1" applyFill="1" applyBorder="1" applyAlignment="1">
      <alignment horizontal="left" vertical="center" wrapText="1"/>
    </xf>
    <xf numFmtId="0" fontId="13" fillId="2" borderId="155" xfId="0" applyFont="1" applyFill="1" applyBorder="1" applyAlignment="1">
      <alignment horizontal="left" vertical="center" wrapText="1"/>
    </xf>
    <xf numFmtId="0" fontId="13" fillId="2" borderId="126" xfId="0" applyFont="1" applyFill="1" applyBorder="1" applyAlignment="1">
      <alignment horizontal="center" vertical="center"/>
    </xf>
    <xf numFmtId="0" fontId="13" fillId="2" borderId="496" xfId="0" applyFont="1" applyFill="1" applyBorder="1" applyAlignment="1">
      <alignment horizontal="center" vertical="center"/>
    </xf>
    <xf numFmtId="0" fontId="13" fillId="2" borderId="145" xfId="0" applyFont="1" applyFill="1" applyBorder="1" applyAlignment="1">
      <alignment horizontal="center" vertical="center"/>
    </xf>
    <xf numFmtId="0" fontId="13" fillId="2" borderId="497" xfId="0" applyFont="1" applyFill="1" applyBorder="1" applyAlignment="1">
      <alignment horizontal="center" vertical="center"/>
    </xf>
    <xf numFmtId="0" fontId="13" fillId="2" borderId="165" xfId="0" applyFont="1" applyFill="1" applyBorder="1" applyAlignment="1">
      <alignment horizontal="center" vertical="center"/>
    </xf>
    <xf numFmtId="0" fontId="13" fillId="2" borderId="0" xfId="0" applyFont="1" applyFill="1" applyAlignment="1">
      <alignment horizontal="center" vertical="center" shrinkToFit="1"/>
    </xf>
    <xf numFmtId="0" fontId="18" fillId="2" borderId="40" xfId="0" applyFont="1" applyFill="1" applyBorder="1" applyAlignment="1">
      <alignment horizontal="center" vertical="center" shrinkToFit="1"/>
    </xf>
    <xf numFmtId="0" fontId="18" fillId="2" borderId="41" xfId="0" applyFont="1" applyFill="1" applyBorder="1" applyAlignment="1">
      <alignment horizontal="center" vertical="center" shrinkToFit="1"/>
    </xf>
    <xf numFmtId="0" fontId="18" fillId="2" borderId="42" xfId="0" applyFont="1" applyFill="1" applyBorder="1" applyAlignment="1">
      <alignment horizontal="center" vertical="center" shrinkToFit="1"/>
    </xf>
    <xf numFmtId="0" fontId="13" fillId="2" borderId="148" xfId="0" applyFont="1" applyFill="1" applyBorder="1" applyAlignment="1">
      <alignment horizontal="center" vertical="center"/>
    </xf>
    <xf numFmtId="0" fontId="13" fillId="2" borderId="149" xfId="0" applyFont="1" applyFill="1" applyBorder="1" applyAlignment="1">
      <alignment horizontal="center" vertical="center"/>
    </xf>
    <xf numFmtId="0" fontId="13" fillId="2" borderId="150" xfId="0" applyFont="1" applyFill="1" applyBorder="1" applyAlignment="1">
      <alignment horizontal="center" vertical="center"/>
    </xf>
    <xf numFmtId="0" fontId="13" fillId="2" borderId="151" xfId="0" applyFont="1" applyFill="1" applyBorder="1" applyAlignment="1">
      <alignment horizontal="center" vertical="center"/>
    </xf>
    <xf numFmtId="0" fontId="0" fillId="2" borderId="72" xfId="0" applyFill="1" applyBorder="1" applyAlignment="1">
      <alignment horizontal="center" vertical="center"/>
    </xf>
    <xf numFmtId="0" fontId="13" fillId="2" borderId="556" xfId="0" applyFont="1" applyFill="1" applyBorder="1" applyAlignment="1">
      <alignment horizontal="center" vertical="center" wrapText="1"/>
    </xf>
    <xf numFmtId="0" fontId="37" fillId="2" borderId="109" xfId="0" applyFont="1" applyFill="1" applyBorder="1" applyAlignment="1">
      <alignment horizontal="left" vertical="center" wrapText="1"/>
    </xf>
    <xf numFmtId="0" fontId="37" fillId="2" borderId="110" xfId="0" applyFont="1" applyFill="1" applyBorder="1" applyAlignment="1">
      <alignment horizontal="left" vertical="center" wrapText="1"/>
    </xf>
    <xf numFmtId="0" fontId="13" fillId="5" borderId="503" xfId="0" applyFont="1" applyFill="1" applyBorder="1" applyAlignment="1" applyProtection="1">
      <alignment horizontal="center" vertical="center"/>
    </xf>
    <xf numFmtId="0" fontId="13" fillId="5" borderId="504" xfId="0" applyFont="1" applyFill="1" applyBorder="1" applyAlignment="1" applyProtection="1">
      <alignment horizontal="center" vertical="center"/>
    </xf>
    <xf numFmtId="0" fontId="13" fillId="2" borderId="105" xfId="0" applyFont="1" applyFill="1" applyBorder="1" applyAlignment="1">
      <alignment horizontal="center" vertical="center"/>
    </xf>
    <xf numFmtId="0" fontId="13" fillId="2" borderId="106" xfId="0" applyFont="1" applyFill="1" applyBorder="1" applyAlignment="1">
      <alignment horizontal="center" vertical="center"/>
    </xf>
    <xf numFmtId="0" fontId="13" fillId="2" borderId="107"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109" xfId="0" applyFont="1" applyFill="1" applyBorder="1" applyAlignment="1">
      <alignment horizontal="left" vertical="center" wrapText="1" shrinkToFit="1"/>
    </xf>
    <xf numFmtId="0" fontId="42" fillId="4" borderId="0" xfId="0" applyFont="1" applyFill="1" applyBorder="1" applyAlignment="1" applyProtection="1">
      <alignment horizontal="left" vertical="center" wrapText="1"/>
      <protection locked="0"/>
    </xf>
    <xf numFmtId="0" fontId="42" fillId="4" borderId="193" xfId="0" applyFont="1" applyFill="1" applyBorder="1" applyAlignment="1" applyProtection="1">
      <alignment horizontal="left" vertical="center" wrapText="1"/>
      <protection locked="0"/>
    </xf>
    <xf numFmtId="0" fontId="13" fillId="6" borderId="154" xfId="0" applyFont="1" applyFill="1" applyBorder="1" applyAlignment="1" applyProtection="1">
      <alignment horizontal="center" vertical="center" wrapText="1"/>
      <protection locked="0"/>
    </xf>
    <xf numFmtId="0" fontId="13" fillId="6" borderId="232" xfId="0" applyFont="1" applyFill="1" applyBorder="1" applyAlignment="1" applyProtection="1">
      <alignment horizontal="center" vertical="center" wrapText="1"/>
      <protection locked="0"/>
    </xf>
    <xf numFmtId="0" fontId="13" fillId="2" borderId="193" xfId="0" applyFont="1" applyFill="1" applyBorder="1" applyAlignment="1">
      <alignment horizontal="left" vertical="center" wrapText="1"/>
    </xf>
    <xf numFmtId="0" fontId="37" fillId="2" borderId="0" xfId="0" applyFont="1" applyFill="1" applyBorder="1" applyAlignment="1">
      <alignment horizontal="left" vertical="center" wrapText="1"/>
    </xf>
    <xf numFmtId="0" fontId="13" fillId="2" borderId="65" xfId="0" applyFont="1" applyFill="1" applyBorder="1" applyAlignment="1">
      <alignment horizontal="center" vertical="center" wrapText="1"/>
    </xf>
    <xf numFmtId="0" fontId="13" fillId="2" borderId="66" xfId="0" applyFont="1" applyFill="1" applyBorder="1" applyAlignment="1">
      <alignment horizontal="center" vertical="center" wrapText="1"/>
    </xf>
    <xf numFmtId="0" fontId="30" fillId="2" borderId="110" xfId="0" applyFont="1" applyFill="1" applyBorder="1" applyAlignment="1">
      <alignment horizontal="left" vertical="center" wrapText="1"/>
    </xf>
    <xf numFmtId="0" fontId="30" fillId="2" borderId="236" xfId="0" applyFont="1" applyFill="1" applyBorder="1" applyAlignment="1">
      <alignment horizontal="center" vertical="center" wrapText="1"/>
    </xf>
    <xf numFmtId="0" fontId="30" fillId="2" borderId="190" xfId="0" applyFont="1" applyFill="1" applyBorder="1" applyAlignment="1">
      <alignment horizontal="center" vertical="center" wrapText="1"/>
    </xf>
    <xf numFmtId="0" fontId="13" fillId="2" borderId="108" xfId="0" applyFont="1" applyFill="1" applyBorder="1" applyAlignment="1">
      <alignment horizontal="left" vertical="center" wrapText="1"/>
    </xf>
    <xf numFmtId="0" fontId="30" fillId="2" borderId="190" xfId="0" applyFont="1" applyFill="1" applyBorder="1" applyAlignment="1">
      <alignment horizontal="left" vertical="center" wrapText="1"/>
    </xf>
    <xf numFmtId="0" fontId="30" fillId="2" borderId="191" xfId="0" applyFont="1" applyFill="1" applyBorder="1" applyAlignment="1">
      <alignment horizontal="left" vertical="center" wrapText="1"/>
    </xf>
    <xf numFmtId="0" fontId="13" fillId="6" borderId="187" xfId="0" applyFont="1" applyFill="1" applyBorder="1" applyAlignment="1" applyProtection="1">
      <alignment horizontal="center" vertical="center"/>
      <protection locked="0"/>
    </xf>
    <xf numFmtId="0" fontId="13" fillId="6" borderId="198" xfId="0" applyFont="1" applyFill="1" applyBorder="1" applyAlignment="1" applyProtection="1">
      <alignment horizontal="center" vertical="center"/>
      <protection locked="0"/>
    </xf>
    <xf numFmtId="0" fontId="13" fillId="6" borderId="16"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wrapText="1"/>
      <protection locked="0"/>
    </xf>
    <xf numFmtId="0" fontId="13" fillId="2" borderId="171" xfId="0" applyFont="1" applyFill="1" applyBorder="1" applyAlignment="1">
      <alignment horizontal="center" vertical="center"/>
    </xf>
    <xf numFmtId="0" fontId="13" fillId="2" borderId="172" xfId="0" applyFont="1" applyFill="1" applyBorder="1" applyAlignment="1">
      <alignment horizontal="center" vertical="center"/>
    </xf>
    <xf numFmtId="0" fontId="13" fillId="2" borderId="235" xfId="0" applyFont="1" applyFill="1" applyBorder="1" applyAlignment="1">
      <alignment horizontal="center" vertical="center"/>
    </xf>
    <xf numFmtId="0" fontId="13" fillId="2" borderId="236" xfId="0" applyFont="1" applyFill="1" applyBorder="1" applyAlignment="1">
      <alignment horizontal="center" vertical="center"/>
    </xf>
    <xf numFmtId="0" fontId="13" fillId="2" borderId="175" xfId="0" applyFont="1" applyFill="1" applyBorder="1" applyAlignment="1">
      <alignment horizontal="center" vertical="center"/>
    </xf>
    <xf numFmtId="0" fontId="13" fillId="2" borderId="167" xfId="0" applyFont="1" applyFill="1" applyBorder="1" applyAlignment="1">
      <alignment horizontal="center" vertical="center"/>
    </xf>
    <xf numFmtId="0" fontId="13" fillId="2" borderId="176" xfId="0" applyFont="1" applyFill="1" applyBorder="1" applyAlignment="1">
      <alignment horizontal="center" vertical="center"/>
    </xf>
    <xf numFmtId="0" fontId="13" fillId="2" borderId="168" xfId="0" applyFont="1" applyFill="1" applyBorder="1" applyAlignment="1">
      <alignment horizontal="center" vertical="center"/>
    </xf>
    <xf numFmtId="0" fontId="13" fillId="2" borderId="190" xfId="0" applyFont="1" applyFill="1" applyBorder="1" applyAlignment="1">
      <alignment horizontal="center" vertical="center" wrapText="1"/>
    </xf>
    <xf numFmtId="0" fontId="33" fillId="2" borderId="0" xfId="0" applyFont="1" applyFill="1" applyAlignment="1">
      <alignment horizontal="left" vertical="center" wrapText="1" shrinkToFit="1"/>
    </xf>
    <xf numFmtId="0" fontId="33" fillId="2" borderId="10" xfId="0" applyFont="1" applyFill="1" applyBorder="1" applyAlignment="1">
      <alignment horizontal="left" vertical="center" wrapText="1" shrinkToFit="1"/>
    </xf>
    <xf numFmtId="0" fontId="13" fillId="2" borderId="0"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13" fillId="2" borderId="158" xfId="0" applyFont="1" applyFill="1" applyBorder="1" applyAlignment="1">
      <alignment horizontal="center" vertical="center" shrinkToFit="1"/>
    </xf>
    <xf numFmtId="188" fontId="13" fillId="5" borderId="111" xfId="0" applyNumberFormat="1" applyFont="1" applyFill="1" applyBorder="1" applyAlignment="1" applyProtection="1">
      <alignment horizontal="center" vertical="center" shrinkToFit="1"/>
      <protection locked="0"/>
    </xf>
    <xf numFmtId="0" fontId="13" fillId="4" borderId="72" xfId="0" applyFont="1" applyFill="1" applyBorder="1" applyAlignment="1" applyProtection="1">
      <alignment horizontal="center" vertical="center" wrapText="1"/>
      <protection locked="0"/>
    </xf>
    <xf numFmtId="0" fontId="30" fillId="2" borderId="14" xfId="0" applyFont="1" applyFill="1" applyBorder="1" applyAlignment="1">
      <alignment horizontal="left" vertical="center"/>
    </xf>
    <xf numFmtId="188" fontId="13" fillId="4" borderId="187" xfId="0" applyNumberFormat="1" applyFont="1" applyFill="1" applyBorder="1" applyAlignment="1" applyProtection="1">
      <alignment horizontal="center" vertical="center" shrinkToFit="1"/>
      <protection locked="0"/>
    </xf>
    <xf numFmtId="188" fontId="13" fillId="4" borderId="507" xfId="0" applyNumberFormat="1" applyFont="1" applyFill="1" applyBorder="1" applyAlignment="1" applyProtection="1">
      <alignment horizontal="center" vertical="center" shrinkToFit="1"/>
      <protection locked="0"/>
    </xf>
    <xf numFmtId="0" fontId="13" fillId="2" borderId="13" xfId="0" applyFont="1" applyFill="1" applyBorder="1" applyAlignment="1">
      <alignment horizontal="center" vertical="center" shrinkToFit="1"/>
    </xf>
    <xf numFmtId="0" fontId="13" fillId="0" borderId="9" xfId="0" applyFont="1" applyBorder="1" applyAlignment="1">
      <alignment horizontal="center" vertical="center"/>
    </xf>
    <xf numFmtId="0" fontId="10" fillId="0" borderId="4" xfId="0" applyFont="1" applyBorder="1" applyAlignment="1">
      <alignment horizontal="center" vertical="center"/>
    </xf>
    <xf numFmtId="0" fontId="13" fillId="2" borderId="188" xfId="0" applyFont="1" applyFill="1" applyBorder="1" applyAlignment="1">
      <alignment horizontal="left" vertical="center" wrapText="1"/>
    </xf>
    <xf numFmtId="202" fontId="30" fillId="2" borderId="532" xfId="0" applyNumberFormat="1" applyFont="1" applyFill="1" applyBorder="1" applyAlignment="1">
      <alignment horizontal="center" vertical="center" shrinkToFit="1"/>
    </xf>
    <xf numFmtId="0" fontId="30" fillId="2" borderId="406" xfId="0" applyFont="1" applyFill="1" applyBorder="1" applyAlignment="1">
      <alignment horizontal="center" vertical="center" shrinkToFit="1"/>
    </xf>
    <xf numFmtId="0" fontId="30" fillId="2" borderId="21" xfId="0" applyFont="1" applyFill="1" applyBorder="1" applyAlignment="1">
      <alignment horizontal="left" vertical="center"/>
    </xf>
    <xf numFmtId="0" fontId="30" fillId="2" borderId="15" xfId="0" applyFont="1" applyFill="1" applyBorder="1" applyAlignment="1">
      <alignment horizontal="left" vertical="center"/>
    </xf>
    <xf numFmtId="0" fontId="13" fillId="2" borderId="32" xfId="0" applyFont="1" applyFill="1" applyBorder="1" applyAlignment="1">
      <alignment horizontal="left" vertical="center"/>
    </xf>
    <xf numFmtId="0" fontId="13" fillId="2" borderId="4" xfId="0" applyFont="1" applyFill="1" applyBorder="1" applyAlignment="1">
      <alignment horizontal="left" vertical="center" shrinkToFit="1"/>
    </xf>
    <xf numFmtId="0" fontId="13" fillId="6" borderId="19" xfId="0" applyFont="1" applyFill="1" applyBorder="1" applyAlignment="1" applyProtection="1">
      <alignment horizontal="center" vertical="center" wrapText="1"/>
      <protection locked="0"/>
    </xf>
    <xf numFmtId="0" fontId="13" fillId="6" borderId="32" xfId="0" applyFont="1" applyFill="1" applyBorder="1" applyAlignment="1" applyProtection="1">
      <alignment horizontal="center" vertical="center" wrapText="1"/>
      <protection locked="0"/>
    </xf>
    <xf numFmtId="0" fontId="13" fillId="6" borderId="16" xfId="0" applyFont="1" applyFill="1" applyBorder="1" applyAlignment="1" applyProtection="1">
      <alignment horizontal="center" vertical="center" wrapText="1"/>
      <protection locked="0"/>
    </xf>
    <xf numFmtId="0" fontId="13" fillId="2" borderId="114" xfId="0" applyFont="1" applyFill="1" applyBorder="1" applyAlignment="1">
      <alignment horizontal="left" vertical="center" wrapText="1"/>
    </xf>
    <xf numFmtId="0" fontId="38" fillId="2" borderId="181" xfId="0" applyFont="1" applyFill="1" applyBorder="1" applyAlignment="1">
      <alignment horizontal="center" vertical="center" wrapText="1" shrinkToFit="1"/>
    </xf>
    <xf numFmtId="219" fontId="13" fillId="2" borderId="131" xfId="0" applyNumberFormat="1" applyFont="1" applyFill="1" applyBorder="1" applyAlignment="1">
      <alignment horizontal="center" vertical="center"/>
    </xf>
    <xf numFmtId="219" fontId="13" fillId="2" borderId="261" xfId="0" applyNumberFormat="1" applyFont="1" applyFill="1" applyBorder="1" applyAlignment="1">
      <alignment horizontal="center" vertical="center"/>
    </xf>
    <xf numFmtId="219" fontId="13" fillId="2" borderId="536" xfId="0" applyNumberFormat="1" applyFont="1" applyFill="1" applyBorder="1" applyAlignment="1">
      <alignment horizontal="center" vertical="center"/>
    </xf>
    <xf numFmtId="219" fontId="13" fillId="2" borderId="513" xfId="0" applyNumberFormat="1" applyFont="1" applyFill="1" applyBorder="1" applyAlignment="1">
      <alignment horizontal="center" vertical="center"/>
    </xf>
    <xf numFmtId="0" fontId="38" fillId="2" borderId="500" xfId="0" applyFont="1" applyFill="1" applyBorder="1" applyAlignment="1">
      <alignment horizontal="center" vertical="center" wrapText="1" shrinkToFit="1"/>
    </xf>
    <xf numFmtId="0" fontId="38" fillId="2" borderId="501" xfId="0" applyFont="1" applyFill="1" applyBorder="1" applyAlignment="1">
      <alignment horizontal="center" vertical="center" wrapText="1" shrinkToFit="1"/>
    </xf>
    <xf numFmtId="0" fontId="38" fillId="2" borderId="506" xfId="0" applyFont="1" applyFill="1" applyBorder="1" applyAlignment="1">
      <alignment horizontal="center" vertical="center" wrapText="1" shrinkToFit="1"/>
    </xf>
    <xf numFmtId="219" fontId="13" fillId="2" borderId="186" xfId="0" applyNumberFormat="1" applyFont="1" applyFill="1" applyBorder="1" applyAlignment="1">
      <alignment horizontal="center" vertical="center"/>
    </xf>
    <xf numFmtId="0" fontId="13" fillId="4" borderId="500" xfId="0" applyFont="1" applyFill="1" applyBorder="1" applyAlignment="1" applyProtection="1">
      <alignment horizontal="center" vertical="center"/>
      <protection locked="0"/>
    </xf>
    <xf numFmtId="0" fontId="13" fillId="4" borderId="106" xfId="0" applyFont="1" applyFill="1" applyBorder="1" applyAlignment="1" applyProtection="1">
      <alignment horizontal="center" vertical="center" wrapText="1"/>
      <protection locked="0"/>
    </xf>
    <xf numFmtId="0" fontId="10" fillId="0" borderId="8" xfId="0" applyFont="1" applyBorder="1" applyAlignment="1">
      <alignment horizontal="center" vertical="center"/>
    </xf>
    <xf numFmtId="0" fontId="30" fillId="2" borderId="188" xfId="0" applyFont="1" applyFill="1" applyBorder="1" applyAlignment="1">
      <alignment horizontal="center" vertical="center"/>
    </xf>
    <xf numFmtId="0" fontId="13" fillId="2" borderId="69" xfId="0" applyFont="1" applyFill="1" applyBorder="1" applyAlignment="1">
      <alignment horizontal="center" vertical="center" wrapText="1"/>
    </xf>
    <xf numFmtId="0" fontId="13" fillId="2" borderId="45" xfId="0" applyFont="1" applyFill="1" applyBorder="1" applyAlignment="1">
      <alignment horizontal="center" vertical="center" wrapText="1"/>
    </xf>
    <xf numFmtId="0" fontId="30" fillId="2" borderId="18" xfId="0" applyFont="1" applyFill="1" applyBorder="1" applyAlignment="1">
      <alignment horizontal="left" vertical="center" shrinkToFit="1"/>
    </xf>
    <xf numFmtId="0" fontId="30" fillId="2" borderId="14" xfId="0" applyFont="1" applyFill="1" applyBorder="1" applyAlignment="1">
      <alignment horizontal="left" vertical="center" shrinkToFit="1"/>
    </xf>
    <xf numFmtId="0" fontId="13" fillId="2" borderId="108" xfId="0" applyFont="1" applyFill="1" applyBorder="1" applyAlignment="1">
      <alignment horizontal="center" vertical="center" shrinkToFit="1"/>
    </xf>
    <xf numFmtId="0" fontId="13" fillId="2" borderId="110" xfId="0" applyFont="1" applyFill="1" applyBorder="1" applyAlignment="1">
      <alignment horizontal="center" vertical="center" shrinkToFit="1"/>
    </xf>
    <xf numFmtId="0" fontId="13" fillId="6" borderId="118" xfId="0" applyFont="1" applyFill="1" applyBorder="1" applyAlignment="1" applyProtection="1">
      <alignment horizontal="center" vertical="center" wrapText="1"/>
      <protection locked="0"/>
    </xf>
    <xf numFmtId="0" fontId="13" fillId="2" borderId="118" xfId="0" applyFont="1" applyFill="1" applyBorder="1" applyAlignment="1">
      <alignment vertical="center" wrapText="1"/>
    </xf>
    <xf numFmtId="0" fontId="13" fillId="2" borderId="106" xfId="0" applyFont="1" applyFill="1" applyBorder="1" applyAlignment="1">
      <alignment vertical="center" wrapText="1"/>
    </xf>
    <xf numFmtId="0" fontId="13" fillId="2" borderId="164" xfId="0" applyFont="1" applyFill="1" applyBorder="1" applyAlignment="1">
      <alignment horizontal="center" vertical="center"/>
    </xf>
    <xf numFmtId="0" fontId="13" fillId="2" borderId="119" xfId="0" applyFont="1" applyFill="1" applyBorder="1" applyAlignment="1">
      <alignment horizontal="left" vertical="center" wrapText="1"/>
    </xf>
    <xf numFmtId="0" fontId="13" fillId="2" borderId="190" xfId="0" applyFont="1" applyFill="1" applyBorder="1" applyAlignment="1">
      <alignment horizontal="center" vertical="center"/>
    </xf>
    <xf numFmtId="0" fontId="37" fillId="2" borderId="237" xfId="0" applyFont="1" applyFill="1" applyBorder="1" applyAlignment="1">
      <alignment horizontal="left" vertical="center" wrapText="1"/>
    </xf>
    <xf numFmtId="0" fontId="37" fillId="2" borderId="238" xfId="0" applyFont="1" applyFill="1" applyBorder="1" applyAlignment="1">
      <alignment horizontal="left" vertical="center" wrapText="1"/>
    </xf>
    <xf numFmtId="0" fontId="37" fillId="2" borderId="173" xfId="0" applyFont="1" applyFill="1" applyBorder="1" applyAlignment="1">
      <alignment horizontal="left" vertical="center" wrapText="1"/>
    </xf>
    <xf numFmtId="0" fontId="37" fillId="2" borderId="174" xfId="0" applyFont="1" applyFill="1" applyBorder="1" applyAlignment="1">
      <alignment horizontal="left" vertical="center" wrapText="1"/>
    </xf>
    <xf numFmtId="0" fontId="33" fillId="2" borderId="10" xfId="0" applyFont="1" applyFill="1" applyBorder="1" applyAlignment="1">
      <alignment horizontal="left" vertical="center" shrinkToFit="1"/>
    </xf>
    <xf numFmtId="0" fontId="13" fillId="2" borderId="125" xfId="0" applyFont="1" applyFill="1" applyBorder="1" applyAlignment="1">
      <alignment horizontal="center" vertical="center" shrinkToFit="1"/>
    </xf>
    <xf numFmtId="0" fontId="13" fillId="2" borderId="71" xfId="0" applyFont="1" applyFill="1" applyBorder="1" applyAlignment="1">
      <alignment horizontal="center" vertical="center" wrapText="1"/>
    </xf>
    <xf numFmtId="0" fontId="37" fillId="2" borderId="19" xfId="0" applyFont="1" applyFill="1" applyBorder="1" applyAlignment="1">
      <alignment horizontal="left" vertical="center" wrapText="1"/>
    </xf>
    <xf numFmtId="0" fontId="37" fillId="2" borderId="32" xfId="0" applyFont="1" applyFill="1" applyBorder="1" applyAlignment="1">
      <alignment horizontal="left" vertical="center" wrapText="1"/>
    </xf>
    <xf numFmtId="0" fontId="37" fillId="2" borderId="16" xfId="0" applyFont="1" applyFill="1" applyBorder="1" applyAlignment="1">
      <alignment horizontal="left" vertical="center" wrapText="1"/>
    </xf>
    <xf numFmtId="0" fontId="13" fillId="2" borderId="19" xfId="0" applyFont="1" applyFill="1" applyBorder="1" applyAlignment="1">
      <alignment horizontal="left" vertical="center"/>
    </xf>
    <xf numFmtId="0" fontId="13" fillId="2" borderId="16" xfId="0" applyFont="1" applyFill="1" applyBorder="1" applyAlignment="1">
      <alignment horizontal="left" vertical="center"/>
    </xf>
    <xf numFmtId="0" fontId="13" fillId="2" borderId="134" xfId="0" applyFont="1" applyFill="1" applyBorder="1" applyAlignment="1">
      <alignment horizontal="center" vertical="center"/>
    </xf>
    <xf numFmtId="0" fontId="13" fillId="2" borderId="134" xfId="0" applyFont="1" applyFill="1" applyBorder="1" applyAlignment="1">
      <alignment horizontal="left" vertical="center" wrapText="1"/>
    </xf>
    <xf numFmtId="0" fontId="13" fillId="4" borderId="88" xfId="0" applyFont="1" applyFill="1" applyBorder="1" applyAlignment="1" applyProtection="1">
      <alignment horizontal="center" vertical="center" wrapText="1"/>
      <protection locked="0"/>
    </xf>
    <xf numFmtId="0" fontId="13" fillId="4" borderId="152" xfId="0" applyFont="1" applyFill="1" applyBorder="1" applyAlignment="1" applyProtection="1">
      <alignment horizontal="center" vertical="center" wrapText="1"/>
      <protection locked="0"/>
    </xf>
    <xf numFmtId="0" fontId="13" fillId="2" borderId="107"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13" fillId="2" borderId="124" xfId="0" applyFont="1" applyFill="1" applyBorder="1" applyAlignment="1">
      <alignment horizontal="center" vertical="center" wrapText="1"/>
    </xf>
    <xf numFmtId="0" fontId="13" fillId="2" borderId="158" xfId="0" applyFont="1" applyFill="1" applyBorder="1" applyAlignment="1">
      <alignment horizontal="left" vertical="center"/>
    </xf>
    <xf numFmtId="0" fontId="13" fillId="2" borderId="341" xfId="0" applyFont="1" applyFill="1" applyBorder="1" applyAlignment="1">
      <alignment horizontal="center" vertical="center"/>
    </xf>
    <xf numFmtId="0" fontId="13" fillId="2" borderId="370" xfId="0" applyFont="1" applyFill="1" applyBorder="1" applyAlignment="1">
      <alignment horizontal="center" vertical="center"/>
    </xf>
    <xf numFmtId="0" fontId="13" fillId="2" borderId="555" xfId="0" applyFont="1" applyFill="1" applyBorder="1" applyAlignment="1">
      <alignment horizontal="center" vertical="center"/>
    </xf>
    <xf numFmtId="0" fontId="13" fillId="0" borderId="118" xfId="0" applyFont="1" applyBorder="1" applyAlignment="1">
      <alignment horizontal="center" vertical="center" wrapText="1"/>
    </xf>
    <xf numFmtId="0" fontId="13" fillId="0" borderId="106" xfId="0" applyFont="1" applyBorder="1" applyAlignment="1">
      <alignment horizontal="center" vertical="center" wrapText="1"/>
    </xf>
    <xf numFmtId="0" fontId="13" fillId="0" borderId="107" xfId="0" applyFont="1" applyBorder="1" applyAlignment="1">
      <alignment horizontal="center" vertical="center" wrapText="1"/>
    </xf>
    <xf numFmtId="0" fontId="13" fillId="2" borderId="88" xfId="0" applyFont="1" applyFill="1" applyBorder="1" applyAlignment="1">
      <alignment horizontal="left" vertical="center" shrinkToFit="1"/>
    </xf>
    <xf numFmtId="0" fontId="13" fillId="6" borderId="88" xfId="0" applyFont="1" applyFill="1" applyBorder="1" applyAlignment="1" applyProtection="1">
      <alignment horizontal="center" vertical="center" shrinkToFit="1"/>
      <protection locked="0"/>
    </xf>
    <xf numFmtId="0" fontId="13" fillId="6" borderId="89" xfId="0" applyFont="1" applyFill="1" applyBorder="1" applyAlignment="1" applyProtection="1">
      <alignment horizontal="center" vertical="center" shrinkToFit="1"/>
      <protection locked="0"/>
    </xf>
    <xf numFmtId="0" fontId="13" fillId="2" borderId="169" xfId="0" applyFont="1" applyFill="1" applyBorder="1" applyAlignment="1">
      <alignment horizontal="left" vertical="center" shrinkToFit="1"/>
    </xf>
    <xf numFmtId="194" fontId="13" fillId="6" borderId="169" xfId="0" applyNumberFormat="1" applyFont="1" applyFill="1" applyBorder="1" applyAlignment="1" applyProtection="1">
      <alignment horizontal="center" vertical="center" shrinkToFit="1"/>
      <protection locked="0"/>
    </xf>
    <xf numFmtId="194" fontId="13" fillId="6" borderId="170" xfId="0" applyNumberFormat="1" applyFont="1" applyFill="1" applyBorder="1" applyAlignment="1" applyProtection="1">
      <alignment horizontal="center" vertical="center" shrinkToFit="1"/>
      <protection locked="0"/>
    </xf>
    <xf numFmtId="0" fontId="13" fillId="2" borderId="191" xfId="0" applyFont="1" applyFill="1" applyBorder="1" applyAlignment="1">
      <alignment horizontal="center" vertical="center" wrapText="1"/>
    </xf>
    <xf numFmtId="0" fontId="13" fillId="6" borderId="190" xfId="0" applyFont="1" applyFill="1" applyBorder="1" applyAlignment="1" applyProtection="1">
      <alignment horizontal="center" vertical="center" wrapText="1"/>
      <protection locked="0"/>
    </xf>
    <xf numFmtId="0" fontId="13" fillId="0" borderId="190" xfId="0" applyFont="1" applyFill="1" applyBorder="1" applyAlignment="1">
      <alignment horizontal="center" vertical="center" wrapText="1"/>
    </xf>
    <xf numFmtId="0" fontId="37" fillId="2" borderId="21" xfId="0" applyFont="1" applyFill="1" applyBorder="1" applyAlignment="1">
      <alignment horizontal="left" vertical="center" wrapText="1"/>
    </xf>
    <xf numFmtId="0" fontId="37" fillId="2" borderId="15" xfId="0" applyFont="1" applyFill="1" applyBorder="1" applyAlignment="1">
      <alignment horizontal="left" vertical="center" wrapText="1"/>
    </xf>
    <xf numFmtId="0" fontId="37" fillId="2" borderId="0" xfId="0" applyFont="1" applyFill="1" applyAlignment="1">
      <alignment horizontal="left" vertical="center" wrapText="1"/>
    </xf>
    <xf numFmtId="0" fontId="13" fillId="2" borderId="88" xfId="0" applyFont="1" applyFill="1" applyBorder="1" applyAlignment="1">
      <alignment horizontal="left" vertical="center" wrapText="1"/>
    </xf>
    <xf numFmtId="0" fontId="13" fillId="6" borderId="507" xfId="0" applyFont="1" applyFill="1" applyBorder="1" applyAlignment="1" applyProtection="1">
      <alignment horizontal="center" vertical="center" shrinkToFit="1"/>
      <protection locked="0"/>
    </xf>
    <xf numFmtId="0" fontId="13" fillId="2" borderId="144" xfId="0" applyFont="1" applyFill="1" applyBorder="1" applyAlignment="1">
      <alignment horizontal="center" vertical="center"/>
    </xf>
    <xf numFmtId="0" fontId="13" fillId="2" borderId="146" xfId="0" applyFont="1" applyFill="1" applyBorder="1" applyAlignment="1">
      <alignment horizontal="center" vertical="center"/>
    </xf>
    <xf numFmtId="0" fontId="13" fillId="2" borderId="147" xfId="0" applyFont="1" applyFill="1" applyBorder="1" applyAlignment="1">
      <alignment horizontal="center" vertical="center"/>
    </xf>
    <xf numFmtId="0" fontId="13" fillId="7" borderId="41" xfId="0" applyFont="1" applyFill="1" applyBorder="1" applyAlignment="1">
      <alignment horizontal="center" vertical="center" shrinkToFit="1"/>
    </xf>
    <xf numFmtId="0" fontId="13" fillId="7" borderId="42" xfId="0" applyFont="1" applyFill="1" applyBorder="1" applyAlignment="1">
      <alignment horizontal="center" vertical="center" shrinkToFit="1"/>
    </xf>
    <xf numFmtId="0" fontId="13" fillId="2" borderId="507" xfId="0" applyFont="1" applyFill="1" applyBorder="1" applyAlignment="1">
      <alignment horizontal="center" vertical="center" wrapText="1"/>
    </xf>
    <xf numFmtId="0" fontId="13" fillId="2" borderId="535" xfId="0" applyFont="1" applyFill="1" applyBorder="1" applyAlignment="1">
      <alignment horizontal="center" vertical="center"/>
    </xf>
    <xf numFmtId="0" fontId="13" fillId="4" borderId="190" xfId="0" applyFont="1" applyFill="1" applyBorder="1" applyAlignment="1" applyProtection="1">
      <alignment horizontal="left" vertical="center" shrinkToFit="1"/>
      <protection locked="0"/>
    </xf>
    <xf numFmtId="0" fontId="13" fillId="4" borderId="192" xfId="0" applyFont="1" applyFill="1" applyBorder="1" applyAlignment="1" applyProtection="1">
      <alignment horizontal="left" vertical="center" shrinkToFit="1"/>
      <protection locked="0"/>
    </xf>
    <xf numFmtId="0" fontId="13" fillId="2" borderId="141" xfId="0" applyFont="1" applyFill="1" applyBorder="1" applyAlignment="1">
      <alignment horizontal="left" vertical="center" wrapText="1"/>
    </xf>
    <xf numFmtId="0" fontId="13" fillId="2" borderId="142" xfId="0" applyFont="1" applyFill="1" applyBorder="1" applyAlignment="1">
      <alignment horizontal="left" vertical="center" wrapText="1"/>
    </xf>
    <xf numFmtId="0" fontId="13" fillId="2" borderId="143" xfId="0" applyFont="1" applyFill="1" applyBorder="1" applyAlignment="1">
      <alignment horizontal="center" vertical="center"/>
    </xf>
    <xf numFmtId="0" fontId="0" fillId="2" borderId="73" xfId="0" applyFill="1" applyBorder="1" applyAlignment="1">
      <alignment horizontal="center" vertical="center"/>
    </xf>
    <xf numFmtId="0" fontId="39" fillId="2" borderId="1" xfId="0" applyFont="1" applyFill="1" applyBorder="1" applyAlignment="1">
      <alignment horizontal="center" vertical="center" textRotation="255"/>
    </xf>
    <xf numFmtId="0" fontId="39" fillId="2" borderId="9" xfId="0" applyFont="1" applyFill="1" applyBorder="1" applyAlignment="1">
      <alignment horizontal="center" vertical="center" textRotation="255"/>
    </xf>
    <xf numFmtId="0" fontId="39" fillId="2" borderId="80" xfId="0" applyFont="1" applyFill="1" applyBorder="1" applyAlignment="1">
      <alignment horizontal="center" vertical="center" textRotation="255"/>
    </xf>
    <xf numFmtId="0" fontId="39" fillId="2" borderId="3" xfId="0" applyFont="1" applyFill="1" applyBorder="1" applyAlignment="1">
      <alignment horizontal="center" vertical="center"/>
    </xf>
    <xf numFmtId="0" fontId="39" fillId="2" borderId="47" xfId="0" applyFont="1" applyFill="1" applyBorder="1" applyAlignment="1">
      <alignment horizontal="center" vertical="center"/>
    </xf>
    <xf numFmtId="191" fontId="30" fillId="4" borderId="200" xfId="0" applyNumberFormat="1" applyFont="1" applyFill="1" applyBorder="1" applyAlignment="1" applyProtection="1">
      <alignment horizontal="center" vertical="center" shrinkToFit="1"/>
      <protection locked="0"/>
    </xf>
    <xf numFmtId="0" fontId="30" fillId="4" borderId="200" xfId="0" applyFont="1" applyFill="1" applyBorder="1" applyAlignment="1" applyProtection="1">
      <alignment horizontal="left" vertical="center" shrinkToFit="1"/>
      <protection locked="0"/>
    </xf>
    <xf numFmtId="0" fontId="30" fillId="4" borderId="201" xfId="0" applyFont="1" applyFill="1" applyBorder="1" applyAlignment="1" applyProtection="1">
      <alignment horizontal="left" vertical="center" shrinkToFit="1"/>
      <protection locked="0"/>
    </xf>
    <xf numFmtId="0" fontId="40" fillId="7" borderId="0" xfId="0" applyFont="1" applyFill="1" applyAlignment="1">
      <alignment horizontal="center" vertical="center" shrinkToFit="1"/>
    </xf>
    <xf numFmtId="0" fontId="39" fillId="2" borderId="46" xfId="0" applyFont="1" applyFill="1" applyBorder="1" applyAlignment="1">
      <alignment horizontal="center" vertical="center" textRotation="255"/>
    </xf>
    <xf numFmtId="0" fontId="39" fillId="2" borderId="74" xfId="0" applyFont="1" applyFill="1" applyBorder="1" applyAlignment="1">
      <alignment horizontal="center" vertical="center" textRotation="255"/>
    </xf>
    <xf numFmtId="0" fontId="39" fillId="2" borderId="31" xfId="0" applyFont="1" applyFill="1" applyBorder="1" applyAlignment="1">
      <alignment horizontal="center" vertical="center" textRotation="255"/>
    </xf>
    <xf numFmtId="0" fontId="10" fillId="2" borderId="200" xfId="0" applyFont="1" applyFill="1" applyBorder="1" applyAlignment="1">
      <alignment horizontal="center" vertical="center"/>
    </xf>
    <xf numFmtId="0" fontId="30" fillId="4" borderId="200" xfId="0" applyFont="1" applyFill="1" applyBorder="1" applyAlignment="1" applyProtection="1">
      <alignment horizontal="center" vertical="center" shrinkToFit="1"/>
      <protection locked="0"/>
    </xf>
    <xf numFmtId="0" fontId="30" fillId="4" borderId="201" xfId="0" applyFont="1" applyFill="1" applyBorder="1" applyAlignment="1" applyProtection="1">
      <alignment horizontal="center" vertical="center" shrinkToFit="1"/>
      <protection locked="0"/>
    </xf>
    <xf numFmtId="0" fontId="10" fillId="2" borderId="202" xfId="0" applyFont="1" applyFill="1" applyBorder="1" applyAlignment="1">
      <alignment horizontal="center" vertical="center"/>
    </xf>
    <xf numFmtId="218" fontId="30" fillId="4" borderId="202" xfId="0" applyNumberFormat="1" applyFont="1" applyFill="1" applyBorder="1" applyAlignment="1" applyProtection="1">
      <alignment horizontal="center" vertical="center" shrinkToFit="1"/>
      <protection locked="0"/>
    </xf>
    <xf numFmtId="218" fontId="30" fillId="4" borderId="203" xfId="0" applyNumberFormat="1" applyFont="1" applyFill="1" applyBorder="1" applyAlignment="1" applyProtection="1">
      <alignment horizontal="center" vertical="center" shrinkToFit="1"/>
      <protection locked="0"/>
    </xf>
    <xf numFmtId="191" fontId="30" fillId="4" borderId="202" xfId="0" applyNumberFormat="1" applyFont="1" applyFill="1" applyBorder="1" applyAlignment="1" applyProtection="1">
      <alignment horizontal="center" vertical="center" shrinkToFit="1"/>
      <protection locked="0"/>
    </xf>
    <xf numFmtId="0" fontId="30" fillId="4" borderId="202" xfId="0" applyFont="1" applyFill="1" applyBorder="1" applyAlignment="1" applyProtection="1">
      <alignment horizontal="left" vertical="center" shrinkToFit="1"/>
      <protection locked="0"/>
    </xf>
    <xf numFmtId="0" fontId="30" fillId="4" borderId="203" xfId="0" applyFont="1" applyFill="1" applyBorder="1" applyAlignment="1" applyProtection="1">
      <alignment horizontal="left" vertical="center" shrinkToFit="1"/>
      <protection locked="0"/>
    </xf>
    <xf numFmtId="0" fontId="30" fillId="4" borderId="202" xfId="0" applyFont="1" applyFill="1" applyBorder="1" applyAlignment="1" applyProtection="1">
      <alignment horizontal="center" vertical="center" shrinkToFit="1"/>
      <protection locked="0"/>
    </xf>
    <xf numFmtId="0" fontId="30" fillId="4" borderId="203" xfId="0" applyFont="1" applyFill="1" applyBorder="1" applyAlignment="1" applyProtection="1">
      <alignment horizontal="center" vertical="center" shrinkToFit="1"/>
      <protection locked="0"/>
    </xf>
    <xf numFmtId="0" fontId="10" fillId="2" borderId="204" xfId="0" applyFont="1" applyFill="1" applyBorder="1" applyAlignment="1">
      <alignment horizontal="center" vertical="center"/>
    </xf>
    <xf numFmtId="0" fontId="30" fillId="4" borderId="204" xfId="0" applyFont="1" applyFill="1" applyBorder="1" applyAlignment="1" applyProtection="1">
      <alignment horizontal="center" vertical="center" shrinkToFit="1"/>
      <protection locked="0"/>
    </xf>
    <xf numFmtId="0" fontId="30" fillId="4" borderId="205" xfId="0" applyFont="1" applyFill="1" applyBorder="1" applyAlignment="1" applyProtection="1">
      <alignment horizontal="center" vertical="center" shrinkToFit="1"/>
      <protection locked="0"/>
    </xf>
    <xf numFmtId="191" fontId="30" fillId="4" borderId="204" xfId="0" applyNumberFormat="1" applyFont="1" applyFill="1" applyBorder="1" applyAlignment="1" applyProtection="1">
      <alignment horizontal="center" vertical="center" shrinkToFit="1"/>
      <protection locked="0"/>
    </xf>
    <xf numFmtId="0" fontId="30" fillId="4" borderId="204" xfId="0" applyFont="1" applyFill="1" applyBorder="1" applyAlignment="1" applyProtection="1">
      <alignment horizontal="left" vertical="center" shrinkToFit="1"/>
      <protection locked="0"/>
    </xf>
    <xf numFmtId="0" fontId="30" fillId="4" borderId="205" xfId="0" applyFont="1" applyFill="1" applyBorder="1" applyAlignment="1" applyProtection="1">
      <alignment horizontal="left" vertical="center" shrinkToFit="1"/>
      <protection locked="0"/>
    </xf>
    <xf numFmtId="191" fontId="30" fillId="4" borderId="206" xfId="0" applyNumberFormat="1" applyFont="1" applyFill="1" applyBorder="1" applyAlignment="1" applyProtection="1">
      <alignment horizontal="center" vertical="center" shrinkToFit="1"/>
      <protection locked="0"/>
    </xf>
    <xf numFmtId="0" fontId="30" fillId="4" borderId="207" xfId="0" applyFont="1" applyFill="1" applyBorder="1" applyAlignment="1" applyProtection="1">
      <alignment horizontal="left" vertical="center" shrinkToFit="1"/>
      <protection locked="0"/>
    </xf>
    <xf numFmtId="0" fontId="30" fillId="4" borderId="208" xfId="0" applyFont="1" applyFill="1" applyBorder="1" applyAlignment="1" applyProtection="1">
      <alignment horizontal="left" vertical="center" shrinkToFit="1"/>
      <protection locked="0"/>
    </xf>
    <xf numFmtId="191" fontId="30" fillId="4" borderId="23" xfId="0" applyNumberFormat="1" applyFont="1" applyFill="1" applyBorder="1" applyAlignment="1" applyProtection="1">
      <alignment horizontal="center" vertical="center" shrinkToFit="1"/>
      <protection locked="0"/>
    </xf>
    <xf numFmtId="191" fontId="30" fillId="4" borderId="25" xfId="0" applyNumberFormat="1" applyFont="1" applyFill="1" applyBorder="1" applyAlignment="1" applyProtection="1">
      <alignment horizontal="center" vertical="center" shrinkToFit="1"/>
      <protection locked="0"/>
    </xf>
    <xf numFmtId="0" fontId="30" fillId="2" borderId="195" xfId="0" applyFont="1" applyFill="1" applyBorder="1" applyAlignment="1">
      <alignment horizontal="left" vertical="center" shrinkToFit="1"/>
    </xf>
    <xf numFmtId="0" fontId="30" fillId="2" borderId="136" xfId="0" applyFont="1" applyFill="1" applyBorder="1" applyAlignment="1">
      <alignment horizontal="left" vertical="center" shrinkToFit="1"/>
    </xf>
    <xf numFmtId="0" fontId="30" fillId="2" borderId="185" xfId="0" applyFont="1" applyFill="1" applyBorder="1" applyAlignment="1">
      <alignment horizontal="left" vertical="center" shrinkToFit="1"/>
    </xf>
    <xf numFmtId="0" fontId="30" fillId="7" borderId="0" xfId="0" applyFont="1" applyFill="1" applyAlignment="1">
      <alignment horizontal="center" vertical="center" shrinkToFit="1"/>
    </xf>
    <xf numFmtId="0" fontId="30" fillId="2" borderId="131" xfId="0" applyFont="1" applyFill="1" applyBorder="1" applyAlignment="1">
      <alignment horizontal="center" vertical="center"/>
    </xf>
    <xf numFmtId="0" fontId="30" fillId="2" borderId="261" xfId="0" applyFont="1" applyFill="1" applyBorder="1" applyAlignment="1">
      <alignment horizontal="center" vertical="center"/>
    </xf>
    <xf numFmtId="0" fontId="45" fillId="0" borderId="273" xfId="0" applyFont="1" applyBorder="1" applyAlignment="1">
      <alignment horizontal="center" vertical="center"/>
    </xf>
    <xf numFmtId="0" fontId="78" fillId="2" borderId="0" xfId="0" applyFont="1" applyFill="1" applyAlignment="1">
      <alignment horizontal="left" vertical="center"/>
    </xf>
    <xf numFmtId="0" fontId="46" fillId="2" borderId="0" xfId="0" applyFont="1" applyFill="1" applyAlignment="1">
      <alignment horizontal="left" vertical="center"/>
    </xf>
    <xf numFmtId="0" fontId="45" fillId="3" borderId="11" xfId="0" applyFont="1" applyFill="1" applyBorder="1" applyAlignment="1">
      <alignment horizontal="center" vertical="center"/>
    </xf>
    <xf numFmtId="0" fontId="45" fillId="3" borderId="35" xfId="0" applyFont="1" applyFill="1" applyBorder="1" applyAlignment="1">
      <alignment horizontal="center" vertical="center"/>
    </xf>
    <xf numFmtId="0" fontId="45" fillId="3" borderId="30" xfId="0" applyFont="1" applyFill="1" applyBorder="1" applyAlignment="1">
      <alignment horizontal="center" vertical="center"/>
    </xf>
    <xf numFmtId="0" fontId="45" fillId="3" borderId="538" xfId="0" applyFont="1" applyFill="1" applyBorder="1" applyAlignment="1">
      <alignment horizontal="center" vertical="center"/>
    </xf>
    <xf numFmtId="0" fontId="45" fillId="3" borderId="100" xfId="0" applyFont="1" applyFill="1" applyBorder="1" applyAlignment="1">
      <alignment horizontal="center" vertical="center"/>
    </xf>
    <xf numFmtId="0" fontId="45" fillId="3" borderId="55" xfId="0" applyFont="1" applyFill="1" applyBorder="1" applyAlignment="1">
      <alignment horizontal="center" vertical="center"/>
    </xf>
    <xf numFmtId="0" fontId="45" fillId="3" borderId="5" xfId="0" applyFont="1" applyFill="1" applyBorder="1" applyAlignment="1">
      <alignment horizontal="center" vertical="center"/>
    </xf>
    <xf numFmtId="0" fontId="45" fillId="3" borderId="28" xfId="0" applyFont="1" applyFill="1" applyBorder="1" applyAlignment="1">
      <alignment horizontal="center" vertical="center"/>
    </xf>
    <xf numFmtId="0" fontId="45" fillId="3" borderId="56" xfId="0" applyFont="1" applyFill="1" applyBorder="1" applyAlignment="1">
      <alignment horizontal="center" vertical="center"/>
    </xf>
    <xf numFmtId="0" fontId="45" fillId="3" borderId="39" xfId="0" applyFont="1" applyFill="1" applyBorder="1" applyAlignment="1">
      <alignment horizontal="center" vertical="center"/>
    </xf>
    <xf numFmtId="0" fontId="45" fillId="2" borderId="124" xfId="0" applyFont="1" applyFill="1" applyBorder="1" applyAlignment="1">
      <alignment horizontal="center" vertical="center" shrinkToFit="1"/>
    </xf>
    <xf numFmtId="0" fontId="45" fillId="2" borderId="125" xfId="0" applyFont="1" applyFill="1" applyBorder="1" applyAlignment="1">
      <alignment horizontal="center" vertical="center" shrinkToFit="1"/>
    </xf>
    <xf numFmtId="0" fontId="45" fillId="2" borderId="126" xfId="0" applyFont="1" applyFill="1" applyBorder="1" applyAlignment="1">
      <alignment horizontal="center" vertical="center" shrinkToFit="1"/>
    </xf>
    <xf numFmtId="0" fontId="45" fillId="2" borderId="272" xfId="0" applyFont="1" applyFill="1" applyBorder="1" applyAlignment="1">
      <alignment horizontal="center" vertical="center"/>
    </xf>
    <xf numFmtId="0" fontId="45" fillId="2" borderId="161" xfId="0" applyFont="1" applyFill="1" applyBorder="1" applyAlignment="1">
      <alignment horizontal="center" vertical="center"/>
    </xf>
    <xf numFmtId="0" fontId="45" fillId="2" borderId="108" xfId="0" applyFont="1" applyFill="1" applyBorder="1" applyAlignment="1">
      <alignment horizontal="center" vertical="center" shrinkToFit="1"/>
    </xf>
    <xf numFmtId="0" fontId="45" fillId="2" borderId="109" xfId="0" applyFont="1" applyFill="1" applyBorder="1" applyAlignment="1">
      <alignment horizontal="center" vertical="center" shrinkToFit="1"/>
    </xf>
    <xf numFmtId="0" fontId="45" fillId="2" borderId="110" xfId="0" applyFont="1" applyFill="1" applyBorder="1" applyAlignment="1">
      <alignment horizontal="center" vertical="center" shrinkToFit="1"/>
    </xf>
    <xf numFmtId="0" fontId="45" fillId="2" borderId="105" xfId="0" applyFont="1" applyFill="1" applyBorder="1" applyAlignment="1">
      <alignment horizontal="center" vertical="center" shrinkToFit="1"/>
    </xf>
    <xf numFmtId="0" fontId="45" fillId="2" borderId="106" xfId="0" applyFont="1" applyFill="1" applyBorder="1" applyAlignment="1">
      <alignment horizontal="center" vertical="center" shrinkToFit="1"/>
    </xf>
    <xf numFmtId="0" fontId="45" fillId="2" borderId="274" xfId="0" applyFont="1" applyFill="1" applyBorder="1" applyAlignment="1">
      <alignment horizontal="center" vertical="center" shrinkToFit="1"/>
    </xf>
    <xf numFmtId="0" fontId="45" fillId="6" borderId="287" xfId="0" applyFont="1" applyFill="1" applyBorder="1" applyAlignment="1" applyProtection="1">
      <alignment horizontal="center" vertical="center" shrinkToFit="1"/>
      <protection locked="0"/>
    </xf>
    <xf numFmtId="0" fontId="45" fillId="6" borderId="116" xfId="0" applyFont="1" applyFill="1" applyBorder="1" applyAlignment="1" applyProtection="1">
      <alignment horizontal="center" vertical="center" shrinkToFit="1"/>
      <protection locked="0"/>
    </xf>
    <xf numFmtId="0" fontId="45" fillId="2" borderId="116" xfId="0" applyFont="1" applyFill="1" applyBorder="1" applyAlignment="1">
      <alignment horizontal="center" vertical="center" shrinkToFit="1"/>
    </xf>
    <xf numFmtId="0" fontId="45" fillId="2" borderId="108" xfId="0" applyFont="1" applyFill="1" applyBorder="1" applyAlignment="1">
      <alignment horizontal="center" vertical="center"/>
    </xf>
    <xf numFmtId="0" fontId="45" fillId="2" borderId="110" xfId="0" applyFont="1" applyFill="1" applyBorder="1" applyAlignment="1">
      <alignment horizontal="center" vertical="center"/>
    </xf>
    <xf numFmtId="0" fontId="45" fillId="2" borderId="124" xfId="0" applyFont="1" applyFill="1" applyBorder="1" applyAlignment="1">
      <alignment horizontal="center" vertical="center"/>
    </xf>
    <xf numFmtId="0" fontId="45" fillId="2" borderId="126" xfId="0" applyFont="1" applyFill="1" applyBorder="1" applyAlignment="1">
      <alignment horizontal="center" vertical="center"/>
    </xf>
    <xf numFmtId="0" fontId="45" fillId="2" borderId="168" xfId="0" applyFont="1" applyFill="1" applyBorder="1" applyAlignment="1">
      <alignment horizontal="center" vertical="center" shrinkToFit="1"/>
    </xf>
    <xf numFmtId="0" fontId="45" fillId="2" borderId="169" xfId="0" applyFont="1" applyFill="1" applyBorder="1" applyAlignment="1">
      <alignment horizontal="center" vertical="center" shrinkToFit="1"/>
    </xf>
    <xf numFmtId="0" fontId="45" fillId="2" borderId="170" xfId="0" applyFont="1" applyFill="1" applyBorder="1" applyAlignment="1">
      <alignment horizontal="center" vertical="center" shrinkToFit="1"/>
    </xf>
    <xf numFmtId="0" fontId="45" fillId="6" borderId="189" xfId="0" applyFont="1" applyFill="1" applyBorder="1" applyAlignment="1" applyProtection="1">
      <alignment horizontal="center" vertical="center" shrinkToFit="1"/>
      <protection locked="0"/>
    </xf>
    <xf numFmtId="0" fontId="45" fillId="6" borderId="169" xfId="0" applyFont="1" applyFill="1" applyBorder="1" applyAlignment="1" applyProtection="1">
      <alignment horizontal="center" vertical="center" shrinkToFit="1"/>
      <protection locked="0"/>
    </xf>
    <xf numFmtId="0" fontId="45" fillId="2" borderId="108" xfId="0" applyFont="1" applyFill="1" applyBorder="1" applyAlignment="1">
      <alignment horizontal="center" vertical="center" wrapText="1" shrinkToFit="1"/>
    </xf>
    <xf numFmtId="0" fontId="45" fillId="2" borderId="109" xfId="0" applyFont="1" applyFill="1" applyBorder="1" applyAlignment="1">
      <alignment horizontal="center" vertical="center" wrapText="1" shrinkToFit="1"/>
    </xf>
    <xf numFmtId="0" fontId="45" fillId="2" borderId="110" xfId="0" applyFont="1" applyFill="1" applyBorder="1" applyAlignment="1">
      <alignment horizontal="center" vertical="center" wrapText="1" shrinkToFit="1"/>
    </xf>
    <xf numFmtId="38" fontId="45" fillId="2" borderId="108" xfId="0" applyNumberFormat="1" applyFont="1" applyFill="1" applyBorder="1" applyAlignment="1">
      <alignment horizontal="center" vertical="center" shrinkToFit="1"/>
    </xf>
    <xf numFmtId="38" fontId="45" fillId="2" borderId="109" xfId="0" applyNumberFormat="1" applyFont="1" applyFill="1" applyBorder="1" applyAlignment="1">
      <alignment horizontal="center" vertical="center" shrinkToFit="1"/>
    </xf>
    <xf numFmtId="0" fontId="45" fillId="2" borderId="105" xfId="0" applyFont="1" applyFill="1" applyBorder="1" applyAlignment="1">
      <alignment horizontal="center" vertical="center" wrapText="1" shrinkToFit="1"/>
    </xf>
    <xf numFmtId="0" fontId="45" fillId="2" borderId="106" xfId="0" applyFont="1" applyFill="1" applyBorder="1" applyAlignment="1">
      <alignment horizontal="center" vertical="center" wrapText="1" shrinkToFit="1"/>
    </xf>
    <xf numFmtId="38" fontId="45" fillId="4" borderId="189" xfId="4" applyFont="1" applyFill="1" applyBorder="1" applyAlignment="1" applyProtection="1">
      <alignment horizontal="center" vertical="center" shrinkToFit="1"/>
      <protection locked="0"/>
    </xf>
    <xf numFmtId="38" fontId="45" fillId="4" borderId="169" xfId="4" applyFont="1" applyFill="1" applyBorder="1" applyAlignment="1" applyProtection="1">
      <alignment horizontal="center" vertical="center" shrinkToFit="1"/>
      <protection locked="0"/>
    </xf>
    <xf numFmtId="0" fontId="45" fillId="2" borderId="20" xfId="0" applyFont="1" applyFill="1" applyBorder="1" applyAlignment="1">
      <alignment horizontal="center" vertical="center" shrinkToFit="1"/>
    </xf>
    <xf numFmtId="0" fontId="45" fillId="2" borderId="10" xfId="0" applyFont="1" applyFill="1" applyBorder="1" applyAlignment="1">
      <alignment horizontal="center" vertical="center" shrinkToFit="1"/>
    </xf>
    <xf numFmtId="0" fontId="45" fillId="2" borderId="13" xfId="0" applyFont="1" applyFill="1" applyBorder="1" applyAlignment="1">
      <alignment horizontal="center" vertical="center" shrinkToFit="1"/>
    </xf>
    <xf numFmtId="0" fontId="45" fillId="2" borderId="172" xfId="0" applyFont="1" applyFill="1" applyBorder="1" applyAlignment="1">
      <alignment horizontal="center" vertical="center" shrinkToFit="1"/>
    </xf>
    <xf numFmtId="0" fontId="45" fillId="2" borderId="117" xfId="0" applyFont="1" applyFill="1" applyBorder="1" applyAlignment="1">
      <alignment horizontal="center" vertical="center" shrinkToFit="1"/>
    </xf>
    <xf numFmtId="0" fontId="45" fillId="6" borderId="287" xfId="0" applyFont="1" applyFill="1" applyBorder="1" applyAlignment="1" applyProtection="1">
      <alignment horizontal="center" vertical="center" wrapText="1" shrinkToFit="1"/>
      <protection locked="0"/>
    </xf>
    <xf numFmtId="0" fontId="45" fillId="6" borderId="116" xfId="0" applyFont="1" applyFill="1" applyBorder="1" applyAlignment="1" applyProtection="1">
      <alignment horizontal="center" vertical="center" wrapText="1" shrinkToFit="1"/>
      <protection locked="0"/>
    </xf>
    <xf numFmtId="0" fontId="45" fillId="2" borderId="20" xfId="0" applyFont="1" applyFill="1" applyBorder="1" applyAlignment="1">
      <alignment horizontal="center" vertical="center"/>
    </xf>
    <xf numFmtId="0" fontId="45" fillId="2" borderId="13" xfId="0" applyFont="1" applyFill="1" applyBorder="1" applyAlignment="1">
      <alignment horizontal="center" vertical="center"/>
    </xf>
    <xf numFmtId="0" fontId="45" fillId="2" borderId="197" xfId="0" applyFont="1" applyFill="1" applyBorder="1" applyAlignment="1">
      <alignment horizontal="center" vertical="center" shrinkToFit="1"/>
    </xf>
    <xf numFmtId="0" fontId="45" fillId="2" borderId="91" xfId="0" applyFont="1" applyFill="1" applyBorder="1" applyAlignment="1">
      <alignment horizontal="center" vertical="center" shrinkToFit="1"/>
    </xf>
    <xf numFmtId="0" fontId="45" fillId="2" borderId="92" xfId="0" applyFont="1" applyFill="1" applyBorder="1" applyAlignment="1">
      <alignment horizontal="center" vertical="center" shrinkToFit="1"/>
    </xf>
    <xf numFmtId="0" fontId="45" fillId="6" borderId="90" xfId="0" applyFont="1" applyFill="1" applyBorder="1" applyAlignment="1" applyProtection="1">
      <alignment horizontal="center" vertical="center" shrinkToFit="1"/>
      <protection locked="0"/>
    </xf>
    <xf numFmtId="0" fontId="45" fillId="6" borderId="91" xfId="0" applyFont="1" applyFill="1" applyBorder="1" applyAlignment="1" applyProtection="1">
      <alignment horizontal="center" vertical="center" shrinkToFit="1"/>
      <protection locked="0"/>
    </xf>
    <xf numFmtId="0" fontId="45" fillId="2" borderId="181" xfId="0" applyFont="1" applyFill="1" applyBorder="1" applyAlignment="1">
      <alignment horizontal="left" vertical="center"/>
    </xf>
    <xf numFmtId="0" fontId="45" fillId="6" borderId="181" xfId="0" applyFont="1" applyFill="1" applyBorder="1" applyAlignment="1" applyProtection="1">
      <alignment horizontal="center" vertical="center"/>
      <protection locked="0"/>
    </xf>
    <xf numFmtId="0" fontId="45" fillId="0" borderId="272" xfId="0" applyFont="1" applyBorder="1" applyAlignment="1">
      <alignment horizontal="center" vertical="center"/>
    </xf>
    <xf numFmtId="0" fontId="45" fillId="0" borderId="161" xfId="0" applyFont="1" applyBorder="1" applyAlignment="1">
      <alignment horizontal="center" vertical="center"/>
    </xf>
    <xf numFmtId="0" fontId="45" fillId="2" borderId="109" xfId="0" applyFont="1" applyFill="1" applyBorder="1" applyAlignment="1">
      <alignment horizontal="center" vertical="center"/>
    </xf>
    <xf numFmtId="0" fontId="45" fillId="2" borderId="21" xfId="0" applyFont="1" applyFill="1" applyBorder="1" applyAlignment="1">
      <alignment horizontal="center" vertical="center"/>
    </xf>
    <xf numFmtId="0" fontId="45" fillId="2" borderId="0" xfId="0" applyFont="1" applyFill="1" applyAlignment="1">
      <alignment horizontal="center" vertical="center"/>
    </xf>
    <xf numFmtId="0" fontId="45" fillId="2" borderId="15" xfId="0" applyFont="1" applyFill="1" applyBorder="1" applyAlignment="1">
      <alignment horizontal="center" vertical="center"/>
    </xf>
    <xf numFmtId="0" fontId="45" fillId="2" borderId="125" xfId="0" applyFont="1" applyFill="1" applyBorder="1" applyAlignment="1">
      <alignment horizontal="center" vertical="center"/>
    </xf>
    <xf numFmtId="0" fontId="45" fillId="2" borderId="134" xfId="0" applyFont="1" applyFill="1" applyBorder="1" applyAlignment="1">
      <alignment horizontal="left" vertical="center" wrapText="1"/>
    </xf>
    <xf numFmtId="0" fontId="45" fillId="6" borderId="134" xfId="0" applyFont="1" applyFill="1" applyBorder="1" applyAlignment="1" applyProtection="1">
      <alignment horizontal="center" vertical="center"/>
      <protection locked="0"/>
    </xf>
    <xf numFmtId="0" fontId="45" fillId="0" borderId="108" xfId="0" applyFont="1" applyBorder="1" applyAlignment="1">
      <alignment horizontal="center" vertical="center"/>
    </xf>
    <xf numFmtId="0" fontId="45" fillId="0" borderId="110" xfId="0" applyFont="1" applyBorder="1" applyAlignment="1">
      <alignment horizontal="center" vertical="center"/>
    </xf>
    <xf numFmtId="0" fontId="45" fillId="0" borderId="21" xfId="0" applyFont="1" applyBorder="1" applyAlignment="1">
      <alignment horizontal="center" vertical="center"/>
    </xf>
    <xf numFmtId="0" fontId="45" fillId="0" borderId="15" xfId="0" applyFont="1" applyBorder="1" applyAlignment="1">
      <alignment horizontal="center" vertical="center"/>
    </xf>
    <xf numFmtId="0" fontId="45" fillId="0" borderId="124" xfId="0" applyFont="1" applyBorder="1" applyAlignment="1">
      <alignment horizontal="center" vertical="center"/>
    </xf>
    <xf numFmtId="0" fontId="45" fillId="0" borderId="126" xfId="0" applyFont="1" applyBorder="1" applyAlignment="1">
      <alignment horizontal="center" vertical="center"/>
    </xf>
    <xf numFmtId="0" fontId="45" fillId="2" borderId="108" xfId="0" applyFont="1" applyFill="1" applyBorder="1" applyAlignment="1">
      <alignment horizontal="left" vertical="center" wrapText="1"/>
    </xf>
    <xf numFmtId="0" fontId="45" fillId="2" borderId="109" xfId="0" applyFont="1" applyFill="1" applyBorder="1" applyAlignment="1">
      <alignment horizontal="left" vertical="center" wrapText="1"/>
    </xf>
    <xf numFmtId="0" fontId="45" fillId="2" borderId="110" xfId="0" applyFont="1" applyFill="1" applyBorder="1" applyAlignment="1">
      <alignment horizontal="left" vertical="center" wrapText="1"/>
    </xf>
    <xf numFmtId="0" fontId="45" fillId="5" borderId="10" xfId="0" applyFont="1" applyFill="1" applyBorder="1" applyAlignment="1">
      <alignment horizontal="center" vertical="center"/>
    </xf>
    <xf numFmtId="0" fontId="13" fillId="2" borderId="535" xfId="0" applyFont="1" applyFill="1" applyBorder="1" applyAlignment="1">
      <alignment horizontal="center" vertical="center" wrapText="1" shrinkToFit="1"/>
    </xf>
    <xf numFmtId="0" fontId="13" fillId="2" borderId="507"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21" xfId="0" applyFont="1" applyFill="1" applyBorder="1" applyAlignment="1">
      <alignment horizontal="center" vertical="center" wrapText="1" shrinkToFit="1"/>
    </xf>
    <xf numFmtId="0" fontId="13" fillId="2" borderId="0" xfId="0" applyFont="1" applyFill="1" applyAlignment="1">
      <alignment horizontal="center" vertical="center" wrapText="1" shrinkToFit="1"/>
    </xf>
    <xf numFmtId="0" fontId="13" fillId="2" borderId="15" xfId="0" applyFont="1" applyFill="1" applyBorder="1" applyAlignment="1">
      <alignment horizontal="center" vertical="center" wrapText="1" shrinkToFit="1"/>
    </xf>
    <xf numFmtId="0" fontId="13" fillId="2" borderId="20"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60" xfId="0" applyFont="1" applyFill="1" applyBorder="1" applyAlignment="1">
      <alignment horizontal="center" vertical="center"/>
    </xf>
    <xf numFmtId="0" fontId="13" fillId="2" borderId="61" xfId="0" applyFont="1" applyFill="1" applyBorder="1" applyAlignment="1">
      <alignment horizontal="center" vertical="center"/>
    </xf>
    <xf numFmtId="0" fontId="13" fillId="2" borderId="62" xfId="0" applyFont="1" applyFill="1" applyBorder="1" applyAlignment="1">
      <alignment horizontal="center" vertical="center"/>
    </xf>
    <xf numFmtId="0" fontId="13" fillId="4" borderId="196" xfId="0" applyFont="1" applyFill="1" applyBorder="1" applyAlignment="1" applyProtection="1">
      <alignment horizontal="center" vertical="center"/>
      <protection locked="0"/>
    </xf>
    <xf numFmtId="0" fontId="13" fillId="4" borderId="190" xfId="0" applyFont="1" applyFill="1" applyBorder="1" applyAlignment="1" applyProtection="1">
      <alignment horizontal="center" vertical="center"/>
      <protection locked="0"/>
    </xf>
    <xf numFmtId="49" fontId="13" fillId="2" borderId="60" xfId="0" applyNumberFormat="1" applyFont="1" applyFill="1" applyBorder="1" applyAlignment="1">
      <alignment horizontal="center" vertical="center"/>
    </xf>
    <xf numFmtId="49" fontId="13" fillId="2" borderId="61" xfId="0" applyNumberFormat="1" applyFont="1" applyFill="1" applyBorder="1" applyAlignment="1">
      <alignment horizontal="center" vertical="center"/>
    </xf>
    <xf numFmtId="49" fontId="13" fillId="2" borderId="62" xfId="0" applyNumberFormat="1" applyFont="1" applyFill="1" applyBorder="1" applyAlignment="1">
      <alignment horizontal="center" vertical="center"/>
    </xf>
    <xf numFmtId="2" fontId="13" fillId="2" borderId="60" xfId="0" applyNumberFormat="1" applyFont="1" applyFill="1" applyBorder="1" applyAlignment="1">
      <alignment horizontal="center" vertical="center"/>
    </xf>
    <xf numFmtId="2" fontId="13" fillId="2" borderId="61" xfId="0" applyNumberFormat="1" applyFont="1" applyFill="1" applyBorder="1" applyAlignment="1">
      <alignment horizontal="center" vertical="center"/>
    </xf>
    <xf numFmtId="0" fontId="30" fillId="0" borderId="535" xfId="0" applyFont="1" applyBorder="1" applyAlignment="1">
      <alignment horizontal="center" vertical="center" wrapText="1"/>
    </xf>
    <xf numFmtId="0" fontId="30" fillId="0" borderId="507" xfId="0" applyFont="1" applyBorder="1" applyAlignment="1">
      <alignment horizontal="center" vertical="center" wrapText="1"/>
    </xf>
    <xf numFmtId="0" fontId="30" fillId="0" borderId="196" xfId="0" applyFont="1" applyBorder="1" applyAlignment="1">
      <alignment horizontal="center" vertical="center" wrapText="1"/>
    </xf>
    <xf numFmtId="0" fontId="30" fillId="0" borderId="190" xfId="0" applyFont="1" applyBorder="1" applyAlignment="1">
      <alignment horizontal="center" vertical="center" wrapText="1"/>
    </xf>
    <xf numFmtId="215" fontId="13" fillId="2" borderId="507" xfId="0" applyNumberFormat="1" applyFont="1" applyFill="1" applyBorder="1" applyAlignment="1">
      <alignment horizontal="center" vertical="center" shrinkToFit="1"/>
    </xf>
    <xf numFmtId="215" fontId="13" fillId="2" borderId="190" xfId="0" applyNumberFormat="1" applyFont="1" applyFill="1" applyBorder="1" applyAlignment="1">
      <alignment horizontal="center" vertical="center" shrinkToFit="1"/>
    </xf>
    <xf numFmtId="0" fontId="13" fillId="2" borderId="191" xfId="0" applyFont="1" applyFill="1" applyBorder="1" applyAlignment="1">
      <alignment horizontal="center" vertical="center" shrinkToFit="1"/>
    </xf>
    <xf numFmtId="0" fontId="13" fillId="2" borderId="87" xfId="0" applyFont="1" applyFill="1" applyBorder="1" applyAlignment="1">
      <alignment horizontal="center" vertical="center"/>
    </xf>
    <xf numFmtId="0" fontId="13" fillId="2" borderId="88" xfId="0" applyFont="1" applyFill="1" applyBorder="1" applyAlignment="1">
      <alignment horizontal="center" vertical="center"/>
    </xf>
    <xf numFmtId="0" fontId="13" fillId="2" borderId="89" xfId="0" applyFont="1" applyFill="1" applyBorder="1" applyAlignment="1">
      <alignment horizontal="center" vertical="center"/>
    </xf>
    <xf numFmtId="0" fontId="13" fillId="4" borderId="87" xfId="0" applyFont="1" applyFill="1" applyBorder="1" applyAlignment="1" applyProtection="1">
      <alignment horizontal="center" vertical="center"/>
      <protection locked="0"/>
    </xf>
    <xf numFmtId="0" fontId="13" fillId="4" borderId="88" xfId="0" applyFont="1" applyFill="1" applyBorder="1" applyAlignment="1" applyProtection="1">
      <alignment horizontal="center" vertical="center"/>
      <protection locked="0"/>
    </xf>
    <xf numFmtId="49" fontId="13" fillId="2" borderId="87" xfId="0" applyNumberFormat="1" applyFont="1" applyFill="1" applyBorder="1" applyAlignment="1">
      <alignment horizontal="center" vertical="center"/>
    </xf>
    <xf numFmtId="49" fontId="13" fillId="2" borderId="88" xfId="0" applyNumberFormat="1" applyFont="1" applyFill="1" applyBorder="1" applyAlignment="1">
      <alignment horizontal="center" vertical="center"/>
    </xf>
    <xf numFmtId="49" fontId="13" fillId="2" borderId="89" xfId="0" applyNumberFormat="1" applyFont="1" applyFill="1" applyBorder="1" applyAlignment="1">
      <alignment horizontal="center" vertical="center"/>
    </xf>
    <xf numFmtId="2" fontId="13" fillId="2" borderId="87" xfId="0" applyNumberFormat="1" applyFont="1" applyFill="1" applyBorder="1" applyAlignment="1">
      <alignment horizontal="center" vertical="center"/>
    </xf>
    <xf numFmtId="2" fontId="13" fillId="2" borderId="88" xfId="0" applyNumberFormat="1" applyFont="1" applyFill="1" applyBorder="1" applyAlignment="1">
      <alignment horizontal="center" vertical="center"/>
    </xf>
    <xf numFmtId="215" fontId="13" fillId="2" borderId="65" xfId="0" applyNumberFormat="1" applyFont="1" applyFill="1" applyBorder="1" applyAlignment="1">
      <alignment horizontal="center" vertical="center" shrinkToFit="1"/>
    </xf>
    <xf numFmtId="215" fontId="13" fillId="2" borderId="10" xfId="0" applyNumberFormat="1" applyFont="1" applyFill="1" applyBorder="1" applyAlignment="1">
      <alignment horizontal="center" vertical="center" shrinkToFit="1"/>
    </xf>
    <xf numFmtId="0" fontId="13" fillId="2" borderId="66" xfId="0" applyFont="1" applyFill="1" applyBorder="1" applyAlignment="1">
      <alignment horizontal="center" vertical="center" shrinkToFit="1"/>
    </xf>
    <xf numFmtId="0" fontId="13" fillId="2" borderId="90" xfId="0" applyFont="1" applyFill="1" applyBorder="1" applyAlignment="1">
      <alignment horizontal="center" vertical="center"/>
    </xf>
    <xf numFmtId="0" fontId="13" fillId="2" borderId="92" xfId="0" applyFont="1" applyFill="1" applyBorder="1" applyAlignment="1">
      <alignment horizontal="center" vertical="center"/>
    </xf>
    <xf numFmtId="0" fontId="13" fillId="4" borderId="90" xfId="0" applyFont="1" applyFill="1" applyBorder="1" applyAlignment="1" applyProtection="1">
      <alignment horizontal="center" vertical="center"/>
      <protection locked="0"/>
    </xf>
    <xf numFmtId="0" fontId="13" fillId="4" borderId="91" xfId="0" applyFont="1" applyFill="1" applyBorder="1" applyAlignment="1" applyProtection="1">
      <alignment horizontal="center" vertical="center"/>
      <protection locked="0"/>
    </xf>
    <xf numFmtId="49" fontId="13" fillId="2" borderId="90" xfId="0" applyNumberFormat="1" applyFont="1" applyFill="1" applyBorder="1" applyAlignment="1">
      <alignment horizontal="center" vertical="center"/>
    </xf>
    <xf numFmtId="49" fontId="13" fillId="2" borderId="91" xfId="0" applyNumberFormat="1" applyFont="1" applyFill="1" applyBorder="1" applyAlignment="1">
      <alignment horizontal="center" vertical="center"/>
    </xf>
    <xf numFmtId="49" fontId="13" fillId="2" borderId="92" xfId="0" applyNumberFormat="1" applyFont="1" applyFill="1" applyBorder="1" applyAlignment="1">
      <alignment horizontal="center" vertical="center"/>
    </xf>
    <xf numFmtId="2" fontId="13" fillId="2" borderId="90" xfId="0" applyNumberFormat="1" applyFont="1" applyFill="1" applyBorder="1" applyAlignment="1">
      <alignment horizontal="center" vertical="center"/>
    </xf>
    <xf numFmtId="2" fontId="13" fillId="2" borderId="91" xfId="0" applyNumberFormat="1" applyFont="1" applyFill="1" applyBorder="1" applyAlignment="1">
      <alignment horizontal="center" vertical="center"/>
    </xf>
    <xf numFmtId="180" fontId="13" fillId="2" borderId="17" xfId="0" applyNumberFormat="1" applyFont="1" applyFill="1" applyBorder="1" applyAlignment="1">
      <alignment horizontal="center" vertical="center"/>
    </xf>
    <xf numFmtId="180" fontId="13" fillId="2" borderId="18" xfId="0" applyNumberFormat="1" applyFont="1" applyFill="1" applyBorder="1" applyAlignment="1">
      <alignment horizontal="center" vertical="center"/>
    </xf>
    <xf numFmtId="215" fontId="13" fillId="2" borderId="18" xfId="0" applyNumberFormat="1" applyFont="1" applyFill="1" applyBorder="1" applyAlignment="1">
      <alignment horizontal="center" vertical="center"/>
    </xf>
    <xf numFmtId="0" fontId="45" fillId="2" borderId="17" xfId="0" applyFont="1" applyFill="1" applyBorder="1" applyAlignment="1">
      <alignment horizontal="center" vertical="center"/>
    </xf>
    <xf numFmtId="0" fontId="45" fillId="2" borderId="18" xfId="0" applyFont="1" applyFill="1" applyBorder="1" applyAlignment="1">
      <alignment horizontal="center" vertical="center"/>
    </xf>
    <xf numFmtId="0" fontId="45" fillId="2" borderId="539" xfId="0" applyFont="1" applyFill="1" applyBorder="1" applyAlignment="1">
      <alignment horizontal="center" vertical="center"/>
    </xf>
    <xf numFmtId="0" fontId="45" fillId="2" borderId="93" xfId="0" applyFont="1" applyFill="1" applyBorder="1" applyAlignment="1">
      <alignment horizontal="center" vertical="center"/>
    </xf>
    <xf numFmtId="0" fontId="45" fillId="2" borderId="186" xfId="0" applyFont="1" applyFill="1" applyBorder="1" applyAlignment="1">
      <alignment horizontal="center" vertical="center"/>
    </xf>
    <xf numFmtId="0" fontId="45" fillId="2" borderId="69" xfId="0" applyFont="1" applyFill="1" applyBorder="1" applyAlignment="1">
      <alignment horizontal="center" vertical="center"/>
    </xf>
    <xf numFmtId="0" fontId="45" fillId="2" borderId="45" xfId="0" applyFont="1" applyFill="1" applyBorder="1" applyAlignment="1">
      <alignment horizontal="center" vertical="center"/>
    </xf>
    <xf numFmtId="0" fontId="45" fillId="2" borderId="540" xfId="0" applyFont="1" applyFill="1" applyBorder="1" applyAlignment="1">
      <alignment horizontal="center" vertical="center"/>
    </xf>
    <xf numFmtId="0" fontId="45" fillId="2" borderId="541" xfId="0" applyFont="1" applyFill="1" applyBorder="1" applyAlignment="1">
      <alignment horizontal="center" vertical="center"/>
    </xf>
    <xf numFmtId="0" fontId="45" fillId="2" borderId="70" xfId="0" applyFont="1" applyFill="1" applyBorder="1" applyAlignment="1">
      <alignment horizontal="center" vertical="center"/>
    </xf>
    <xf numFmtId="0" fontId="45" fillId="2" borderId="21" xfId="0" applyFont="1" applyFill="1" applyBorder="1" applyAlignment="1">
      <alignment horizontal="center" vertical="center" shrinkToFit="1"/>
    </xf>
    <xf numFmtId="0" fontId="45" fillId="2" borderId="0" xfId="0" applyFont="1" applyFill="1" applyAlignment="1">
      <alignment horizontal="center" vertical="center" shrinkToFit="1"/>
    </xf>
    <xf numFmtId="0" fontId="45" fillId="2" borderId="236" xfId="0" applyFont="1" applyFill="1" applyBorder="1" applyAlignment="1">
      <alignment horizontal="center" vertical="center" shrinkToFit="1"/>
    </xf>
    <xf numFmtId="0" fontId="45" fillId="2" borderId="190" xfId="0" applyFont="1" applyFill="1" applyBorder="1" applyAlignment="1">
      <alignment horizontal="center" vertical="center" shrinkToFit="1"/>
    </xf>
    <xf numFmtId="0" fontId="45" fillId="2" borderId="236" xfId="0" applyFont="1" applyFill="1" applyBorder="1" applyAlignment="1">
      <alignment horizontal="center" vertical="center"/>
    </xf>
    <xf numFmtId="0" fontId="45" fillId="2" borderId="190" xfId="0" applyFont="1" applyFill="1" applyBorder="1" applyAlignment="1">
      <alignment horizontal="center" vertical="center"/>
    </xf>
    <xf numFmtId="0" fontId="45" fillId="2" borderId="191" xfId="0" applyFont="1" applyFill="1" applyBorder="1" applyAlignment="1">
      <alignment horizontal="center" vertical="center"/>
    </xf>
    <xf numFmtId="0" fontId="45" fillId="2" borderId="175" xfId="0" applyFont="1" applyFill="1" applyBorder="1" applyAlignment="1">
      <alignment horizontal="center" vertical="center" shrinkToFit="1"/>
    </xf>
    <xf numFmtId="0" fontId="45" fillId="2" borderId="167" xfId="0" applyFont="1" applyFill="1" applyBorder="1" applyAlignment="1">
      <alignment horizontal="center" vertical="center" shrinkToFit="1"/>
    </xf>
    <xf numFmtId="0" fontId="45" fillId="6" borderId="167" xfId="0" applyFont="1" applyFill="1" applyBorder="1" applyAlignment="1" applyProtection="1">
      <alignment horizontal="center" vertical="center" shrinkToFit="1"/>
      <protection locked="0"/>
    </xf>
    <xf numFmtId="0" fontId="45" fillId="6" borderId="88" xfId="0" applyFont="1" applyFill="1" applyBorder="1" applyAlignment="1" applyProtection="1">
      <alignment horizontal="center" vertical="center" shrinkToFit="1"/>
      <protection locked="0"/>
    </xf>
    <xf numFmtId="0" fontId="45" fillId="4" borderId="167" xfId="0" applyFont="1" applyFill="1" applyBorder="1" applyAlignment="1" applyProtection="1">
      <alignment horizontal="center" vertical="center" shrinkToFit="1"/>
      <protection locked="0"/>
    </xf>
    <xf numFmtId="0" fontId="45" fillId="4" borderId="88" xfId="0" applyFont="1" applyFill="1" applyBorder="1" applyAlignment="1" applyProtection="1">
      <alignment horizontal="center" vertical="center" shrinkToFit="1"/>
      <protection locked="0"/>
    </xf>
    <xf numFmtId="0" fontId="45" fillId="4" borderId="152" xfId="0" applyFont="1" applyFill="1" applyBorder="1" applyAlignment="1" applyProtection="1">
      <alignment horizontal="center" vertical="center" shrinkToFit="1"/>
      <protection locked="0"/>
    </xf>
    <xf numFmtId="0" fontId="45" fillId="4" borderId="89" xfId="0" applyFont="1" applyFill="1" applyBorder="1" applyAlignment="1" applyProtection="1">
      <alignment horizontal="center" vertical="center" shrinkToFit="1"/>
      <protection locked="0"/>
    </xf>
    <xf numFmtId="0" fontId="45" fillId="2" borderId="176" xfId="0" applyFont="1" applyFill="1" applyBorder="1" applyAlignment="1">
      <alignment horizontal="center" vertical="center" shrinkToFit="1"/>
    </xf>
    <xf numFmtId="0" fontId="45" fillId="6" borderId="168" xfId="0" applyFont="1" applyFill="1" applyBorder="1" applyAlignment="1" applyProtection="1">
      <alignment horizontal="center" vertical="center" shrinkToFit="1"/>
      <protection locked="0"/>
    </xf>
    <xf numFmtId="0" fontId="45" fillId="4" borderId="168" xfId="0" applyFont="1" applyFill="1" applyBorder="1" applyAlignment="1" applyProtection="1">
      <alignment horizontal="center" vertical="center" shrinkToFit="1"/>
      <protection locked="0"/>
    </xf>
    <xf numFmtId="0" fontId="45" fillId="4" borderId="169" xfId="0" applyFont="1" applyFill="1" applyBorder="1" applyAlignment="1" applyProtection="1">
      <alignment horizontal="center" vertical="center" shrinkToFit="1"/>
      <protection locked="0"/>
    </xf>
    <xf numFmtId="0" fontId="45" fillId="4" borderId="475" xfId="0" applyFont="1" applyFill="1" applyBorder="1" applyAlignment="1" applyProtection="1">
      <alignment horizontal="center" vertical="center" shrinkToFit="1"/>
      <protection locked="0"/>
    </xf>
    <xf numFmtId="0" fontId="45" fillId="4" borderId="170" xfId="0" applyFont="1" applyFill="1" applyBorder="1" applyAlignment="1" applyProtection="1">
      <alignment horizontal="center" vertical="center" shrinkToFit="1"/>
      <protection locked="0"/>
    </xf>
    <xf numFmtId="0" fontId="45" fillId="2" borderId="8" xfId="0" applyFont="1" applyFill="1" applyBorder="1" applyAlignment="1">
      <alignment horizontal="center" vertical="center" shrinkToFit="1"/>
    </xf>
    <xf numFmtId="0" fontId="45" fillId="2" borderId="4" xfId="0" applyFont="1" applyFill="1" applyBorder="1" applyAlignment="1">
      <alignment horizontal="center" vertical="center" shrinkToFit="1"/>
    </xf>
    <xf numFmtId="0" fontId="45" fillId="2" borderId="17" xfId="0" applyFont="1" applyFill="1" applyBorder="1" applyAlignment="1">
      <alignment horizontal="center" vertical="center" shrinkToFit="1"/>
    </xf>
    <xf numFmtId="0" fontId="45" fillId="2" borderId="414" xfId="0" applyFont="1" applyFill="1" applyBorder="1" applyAlignment="1">
      <alignment horizontal="center" vertical="center" shrinkToFit="1"/>
    </xf>
    <xf numFmtId="182" fontId="45" fillId="2" borderId="109" xfId="0" applyNumberFormat="1" applyFont="1" applyFill="1" applyBorder="1" applyAlignment="1">
      <alignment horizontal="center" vertical="center" shrinkToFit="1"/>
    </xf>
    <xf numFmtId="182" fontId="45" fillId="2" borderId="237" xfId="0" applyNumberFormat="1" applyFont="1" applyFill="1" applyBorder="1" applyAlignment="1">
      <alignment horizontal="center" vertical="center" shrinkToFit="1"/>
    </xf>
    <xf numFmtId="182" fontId="45" fillId="2" borderId="10" xfId="0" applyNumberFormat="1" applyFont="1" applyFill="1" applyBorder="1" applyAlignment="1">
      <alignment horizontal="center" vertical="center" shrinkToFit="1"/>
    </xf>
    <xf numFmtId="182" fontId="45" fillId="2" borderId="194" xfId="0" applyNumberFormat="1" applyFont="1" applyFill="1" applyBorder="1" applyAlignment="1">
      <alignment horizontal="center" vertical="center" shrinkToFit="1"/>
    </xf>
    <xf numFmtId="0" fontId="30" fillId="0" borderId="274" xfId="0" applyFont="1" applyBorder="1" applyAlignment="1">
      <alignment horizontal="center" vertical="center" shrinkToFit="1"/>
    </xf>
    <xf numFmtId="0" fontId="30" fillId="0" borderId="109" xfId="0" applyFont="1" applyBorder="1" applyAlignment="1">
      <alignment horizontal="center" vertical="center" shrinkToFit="1"/>
    </xf>
    <xf numFmtId="0" fontId="30" fillId="0" borderId="414" xfId="0" applyFont="1" applyBorder="1" applyAlignment="1">
      <alignment horizontal="center" vertical="center" shrinkToFit="1"/>
    </xf>
    <xf numFmtId="0" fontId="30" fillId="0" borderId="10" xfId="0" applyFont="1" applyBorder="1" applyAlignment="1">
      <alignment horizontal="center" vertical="center" shrinkToFit="1"/>
    </xf>
    <xf numFmtId="0" fontId="45" fillId="2" borderId="10" xfId="0" applyFont="1" applyFill="1" applyBorder="1" applyAlignment="1">
      <alignment horizontal="center" vertical="center"/>
    </xf>
    <xf numFmtId="0" fontId="65" fillId="3" borderId="261" xfId="3" applyFont="1" applyFill="1" applyBorder="1" applyAlignment="1">
      <alignment horizontal="center" vertical="center" shrinkToFit="1"/>
    </xf>
    <xf numFmtId="0" fontId="65" fillId="3" borderId="133" xfId="3" applyFont="1" applyFill="1" applyBorder="1" applyAlignment="1">
      <alignment horizontal="center" vertical="center" shrinkToFit="1"/>
    </xf>
    <xf numFmtId="0" fontId="36" fillId="2" borderId="0" xfId="3" applyFont="1" applyFill="1" applyAlignment="1">
      <alignment horizontal="center" vertical="center" shrinkToFit="1"/>
    </xf>
    <xf numFmtId="0" fontId="65" fillId="7" borderId="0" xfId="0" applyFont="1" applyFill="1" applyAlignment="1">
      <alignment horizontal="center" vertical="center" shrinkToFit="1"/>
    </xf>
    <xf numFmtId="14" fontId="66" fillId="2" borderId="0" xfId="3" applyNumberFormat="1" applyFont="1" applyFill="1" applyAlignment="1">
      <alignment horizontal="left" vertical="center" shrinkToFit="1"/>
    </xf>
    <xf numFmtId="0" fontId="65" fillId="2" borderId="0" xfId="3" applyFont="1" applyFill="1" applyAlignment="1">
      <alignment horizontal="left" wrapText="1" shrinkToFit="1"/>
    </xf>
    <xf numFmtId="0" fontId="65" fillId="2" borderId="0" xfId="3" applyFont="1" applyFill="1" applyAlignment="1">
      <alignment horizontal="left" vertical="center" wrapText="1" shrinkToFit="1"/>
    </xf>
    <xf numFmtId="0" fontId="65" fillId="2" borderId="0" xfId="3" applyFont="1" applyFill="1" applyAlignment="1">
      <alignment horizontal="left" vertical="center" shrinkToFit="1"/>
    </xf>
    <xf numFmtId="0" fontId="65" fillId="2" borderId="266" xfId="3" applyFont="1" applyFill="1" applyBorder="1" applyAlignment="1">
      <alignment horizontal="center" vertical="center" shrinkToFit="1"/>
    </xf>
    <xf numFmtId="0" fontId="65" fillId="2" borderId="267" xfId="3" applyFont="1" applyFill="1" applyBorder="1" applyAlignment="1">
      <alignment horizontal="center" vertical="center" shrinkToFit="1"/>
    </xf>
    <xf numFmtId="0" fontId="65" fillId="2" borderId="466" xfId="3" applyFont="1" applyFill="1" applyBorder="1" applyAlignment="1">
      <alignment horizontal="center" vertical="center" shrinkToFit="1"/>
    </xf>
    <xf numFmtId="0" fontId="65" fillId="2" borderId="410" xfId="3" applyFont="1" applyFill="1" applyBorder="1" applyAlignment="1">
      <alignment horizontal="center" vertical="center" shrinkToFit="1"/>
    </xf>
    <xf numFmtId="0" fontId="65" fillId="2" borderId="412" xfId="3" applyFont="1" applyFill="1" applyBorder="1" applyAlignment="1">
      <alignment horizontal="center" vertical="center" shrinkToFit="1"/>
    </xf>
    <xf numFmtId="0" fontId="65" fillId="2" borderId="402" xfId="3" applyFont="1" applyFill="1" applyBorder="1" applyAlignment="1">
      <alignment horizontal="center" vertical="center" shrinkToFit="1"/>
    </xf>
    <xf numFmtId="216" fontId="65" fillId="2" borderId="261" xfId="3" applyNumberFormat="1" applyFont="1" applyFill="1" applyBorder="1" applyAlignment="1">
      <alignment horizontal="center" vertical="center" shrinkToFit="1"/>
    </xf>
    <xf numFmtId="216" fontId="65" fillId="2" borderId="133" xfId="3" applyNumberFormat="1" applyFont="1" applyFill="1" applyBorder="1" applyAlignment="1">
      <alignment horizontal="center" vertical="center" shrinkToFit="1"/>
    </xf>
    <xf numFmtId="0" fontId="13" fillId="7" borderId="0" xfId="0" applyFont="1" applyFill="1" applyAlignment="1">
      <alignment horizontal="center" vertical="center" shrinkToFit="1"/>
    </xf>
    <xf numFmtId="205" fontId="13" fillId="0" borderId="0" xfId="3" applyNumberFormat="1" applyFont="1" applyAlignment="1">
      <alignment horizontal="center" vertical="center" shrinkToFit="1"/>
    </xf>
    <xf numFmtId="194" fontId="57" fillId="2" borderId="52" xfId="3" applyNumberFormat="1" applyFont="1" applyFill="1" applyBorder="1" applyAlignment="1">
      <alignment horizontal="center" vertical="center" shrinkToFit="1"/>
    </xf>
    <xf numFmtId="194" fontId="57" fillId="2" borderId="51" xfId="3" applyNumberFormat="1" applyFont="1" applyFill="1" applyBorder="1" applyAlignment="1">
      <alignment horizontal="center" vertical="center" shrinkToFit="1"/>
    </xf>
    <xf numFmtId="194" fontId="57" fillId="2" borderId="7" xfId="3" applyNumberFormat="1" applyFont="1" applyFill="1" applyBorder="1" applyAlignment="1">
      <alignment horizontal="center" vertical="center" shrinkToFit="1"/>
    </xf>
    <xf numFmtId="194" fontId="65" fillId="15" borderId="3" xfId="3" applyNumberFormat="1" applyFont="1" applyFill="1" applyBorder="1" applyAlignment="1">
      <alignment horizontal="center" vertical="center" shrinkToFit="1"/>
    </xf>
    <xf numFmtId="194" fontId="65" fillId="15" borderId="256" xfId="3" applyNumberFormat="1" applyFont="1" applyFill="1" applyBorder="1" applyAlignment="1">
      <alignment horizontal="center" vertical="center" shrinkToFit="1"/>
    </xf>
    <xf numFmtId="197" fontId="13" fillId="3" borderId="76" xfId="3" applyNumberFormat="1" applyFont="1" applyFill="1" applyBorder="1" applyAlignment="1">
      <alignment horizontal="center" vertical="center" shrinkToFit="1"/>
    </xf>
    <xf numFmtId="197" fontId="13" fillId="3" borderId="260" xfId="3" applyNumberFormat="1" applyFont="1" applyFill="1" applyBorder="1" applyAlignment="1">
      <alignment horizontal="center" vertical="center" shrinkToFit="1"/>
    </xf>
    <xf numFmtId="0" fontId="13" fillId="0" borderId="4" xfId="3" applyFont="1" applyBorder="1" applyAlignment="1">
      <alignment horizontal="center" vertical="center" shrinkToFit="1"/>
    </xf>
    <xf numFmtId="194" fontId="65" fillId="15" borderId="258" xfId="3" applyNumberFormat="1" applyFont="1" applyFill="1" applyBorder="1" applyAlignment="1">
      <alignment horizontal="center" vertical="center" shrinkToFit="1"/>
    </xf>
    <xf numFmtId="194" fontId="65" fillId="15" borderId="9" xfId="3" applyNumberFormat="1" applyFont="1" applyFill="1" applyBorder="1" applyAlignment="1">
      <alignment horizontal="center" vertical="center" shrinkToFit="1"/>
    </xf>
    <xf numFmtId="194" fontId="65" fillId="15" borderId="8" xfId="3" applyNumberFormat="1" applyFont="1" applyFill="1" applyBorder="1" applyAlignment="1">
      <alignment horizontal="center" vertical="center" shrinkToFit="1"/>
    </xf>
    <xf numFmtId="197" fontId="13" fillId="3" borderId="127" xfId="3" applyNumberFormat="1" applyFont="1" applyFill="1" applyBorder="1" applyAlignment="1">
      <alignment horizontal="center" vertical="center" shrinkToFit="1"/>
    </xf>
    <xf numFmtId="194" fontId="57" fillId="2" borderId="48" xfId="3" applyNumberFormat="1" applyFont="1" applyFill="1" applyBorder="1" applyAlignment="1">
      <alignment horizontal="center" vertical="center" shrinkToFit="1"/>
    </xf>
    <xf numFmtId="0" fontId="13" fillId="0" borderId="4" xfId="3" applyFont="1" applyBorder="1" applyAlignment="1">
      <alignment horizontal="center" shrinkToFit="1"/>
    </xf>
    <xf numFmtId="189" fontId="13" fillId="0" borderId="4" xfId="3" applyNumberFormat="1" applyFont="1" applyBorder="1" applyAlignment="1">
      <alignment horizontal="center" vertical="center" shrinkToFit="1"/>
    </xf>
    <xf numFmtId="0" fontId="17" fillId="2" borderId="0" xfId="3" applyFont="1" applyFill="1" applyAlignment="1">
      <alignment horizontal="center" vertical="center"/>
    </xf>
    <xf numFmtId="0" fontId="17" fillId="2" borderId="38" xfId="3" applyFont="1" applyFill="1" applyBorder="1" applyAlignment="1">
      <alignment horizontal="center" vertical="center"/>
    </xf>
    <xf numFmtId="194" fontId="57" fillId="2" borderId="54" xfId="3" applyNumberFormat="1" applyFont="1" applyFill="1" applyBorder="1" applyAlignment="1">
      <alignment horizontal="center" vertical="center" shrinkToFit="1"/>
    </xf>
    <xf numFmtId="194" fontId="65" fillId="15" borderId="80" xfId="3" applyNumberFormat="1" applyFont="1" applyFill="1" applyBorder="1" applyAlignment="1">
      <alignment horizontal="center" vertical="center" shrinkToFit="1"/>
    </xf>
    <xf numFmtId="0" fontId="56" fillId="2" borderId="0" xfId="0" applyFont="1" applyFill="1" applyAlignment="1">
      <alignment horizontal="left" vertical="center"/>
    </xf>
    <xf numFmtId="0" fontId="55" fillId="2" borderId="0" xfId="0" applyFont="1" applyFill="1" applyAlignment="1">
      <alignment horizontal="center" vertical="center"/>
    </xf>
    <xf numFmtId="0" fontId="48" fillId="7" borderId="0" xfId="0" applyFont="1" applyFill="1" applyAlignment="1">
      <alignment horizontal="center" vertical="center" shrinkToFit="1"/>
    </xf>
    <xf numFmtId="179" fontId="48" fillId="2" borderId="0" xfId="0" applyNumberFormat="1" applyFont="1" applyFill="1" applyAlignment="1">
      <alignment horizontal="center" vertical="center" shrinkToFit="1"/>
    </xf>
    <xf numFmtId="0" fontId="54" fillId="2" borderId="0" xfId="0" applyFont="1" applyFill="1" applyAlignment="1">
      <alignment horizontal="center" vertical="center"/>
    </xf>
    <xf numFmtId="0" fontId="54" fillId="5" borderId="0" xfId="0" applyFont="1" applyFill="1" applyAlignment="1" applyProtection="1">
      <alignment horizontal="left" vertical="center" shrinkToFit="1"/>
      <protection locked="0"/>
    </xf>
    <xf numFmtId="0" fontId="54" fillId="5" borderId="0" xfId="0" applyFont="1" applyFill="1" applyAlignment="1" applyProtection="1">
      <alignment horizontal="left" vertical="center"/>
      <protection locked="0"/>
    </xf>
    <xf numFmtId="0" fontId="53" fillId="2" borderId="0" xfId="3" applyFont="1" applyFill="1" applyAlignment="1">
      <alignment horizontal="left" vertical="center" shrinkToFit="1"/>
    </xf>
    <xf numFmtId="0" fontId="54" fillId="2" borderId="0" xfId="0" applyFont="1" applyFill="1" applyAlignment="1">
      <alignment horizontal="left" vertical="center" wrapText="1"/>
    </xf>
    <xf numFmtId="0" fontId="54" fillId="2" borderId="0" xfId="0" applyFont="1" applyFill="1" applyAlignment="1">
      <alignment horizontal="center" vertical="center" wrapText="1"/>
    </xf>
    <xf numFmtId="0" fontId="54" fillId="2" borderId="0" xfId="0" applyFont="1" applyFill="1" applyAlignment="1">
      <alignment horizontal="left" vertical="center"/>
    </xf>
    <xf numFmtId="0" fontId="54" fillId="2" borderId="0" xfId="0" applyFont="1" applyFill="1" applyAlignment="1">
      <alignment horizontal="left" vertical="center" shrinkToFit="1"/>
    </xf>
    <xf numFmtId="0" fontId="54" fillId="2" borderId="256" xfId="0" applyFont="1" applyFill="1" applyBorder="1" applyAlignment="1">
      <alignment horizontal="center" vertical="center"/>
    </xf>
    <xf numFmtId="0" fontId="54" fillId="2" borderId="258" xfId="0" applyFont="1" applyFill="1" applyBorder="1" applyAlignment="1">
      <alignment horizontal="center" vertical="center"/>
    </xf>
    <xf numFmtId="0" fontId="54" fillId="6" borderId="0" xfId="0" applyFont="1" applyFill="1" applyAlignment="1" applyProtection="1">
      <alignment horizontal="center" vertical="center"/>
      <protection locked="0"/>
    </xf>
    <xf numFmtId="0" fontId="54" fillId="5" borderId="0" xfId="0" applyFont="1" applyFill="1" applyAlignment="1" applyProtection="1">
      <alignment horizontal="center" vertical="center"/>
      <protection locked="0"/>
    </xf>
    <xf numFmtId="0" fontId="54" fillId="4" borderId="0" xfId="0" applyFont="1" applyFill="1" applyAlignment="1" applyProtection="1">
      <alignment horizontal="center" vertical="center"/>
      <protection locked="0"/>
    </xf>
    <xf numFmtId="0" fontId="54" fillId="2" borderId="4" xfId="0" applyFont="1" applyFill="1" applyBorder="1" applyAlignment="1">
      <alignment horizontal="center" vertical="center"/>
    </xf>
    <xf numFmtId="0" fontId="45" fillId="0" borderId="4" xfId="0" applyFont="1" applyBorder="1" applyAlignment="1">
      <alignment horizontal="center" vertical="center"/>
    </xf>
    <xf numFmtId="179" fontId="54" fillId="2" borderId="0" xfId="0" applyNumberFormat="1" applyFont="1" applyFill="1" applyAlignment="1">
      <alignment horizontal="center" vertical="center"/>
    </xf>
    <xf numFmtId="0" fontId="54" fillId="2" borderId="10" xfId="0" applyFont="1" applyFill="1" applyBorder="1" applyAlignment="1">
      <alignment horizontal="center" vertical="center"/>
    </xf>
    <xf numFmtId="0" fontId="54" fillId="2" borderId="11" xfId="0" applyFont="1" applyFill="1" applyBorder="1" applyAlignment="1">
      <alignment horizontal="center" vertical="center"/>
    </xf>
    <xf numFmtId="0" fontId="54" fillId="2" borderId="30" xfId="0" applyFont="1" applyFill="1" applyBorder="1" applyAlignment="1">
      <alignment horizontal="center" vertical="center"/>
    </xf>
    <xf numFmtId="0" fontId="54" fillId="2" borderId="37" xfId="0" applyFont="1" applyFill="1" applyBorder="1" applyAlignment="1">
      <alignment horizontal="center" vertical="center"/>
    </xf>
    <xf numFmtId="0" fontId="54" fillId="2" borderId="39" xfId="0" applyFont="1" applyFill="1" applyBorder="1" applyAlignment="1">
      <alignment horizontal="center" vertical="center"/>
    </xf>
    <xf numFmtId="9" fontId="54" fillId="2" borderId="11" xfId="5" applyFont="1" applyFill="1" applyBorder="1" applyAlignment="1" applyProtection="1">
      <alignment horizontal="center" vertical="center"/>
    </xf>
    <xf numFmtId="9" fontId="54" fillId="2" borderId="30" xfId="5" applyFont="1" applyFill="1" applyBorder="1" applyAlignment="1" applyProtection="1">
      <alignment horizontal="center" vertical="center"/>
    </xf>
    <xf numFmtId="9" fontId="54" fillId="2" borderId="37" xfId="5" applyFont="1" applyFill="1" applyBorder="1" applyAlignment="1" applyProtection="1">
      <alignment horizontal="center" vertical="center"/>
    </xf>
    <xf numFmtId="9" fontId="54" fillId="2" borderId="39" xfId="5" applyFont="1" applyFill="1" applyBorder="1" applyAlignment="1" applyProtection="1">
      <alignment horizontal="center" vertical="center"/>
    </xf>
    <xf numFmtId="0" fontId="49" fillId="2" borderId="507" xfId="0" applyFont="1" applyFill="1" applyBorder="1" applyAlignment="1">
      <alignment horizontal="left" vertical="center"/>
    </xf>
    <xf numFmtId="0" fontId="49" fillId="2" borderId="0" xfId="0" applyFont="1" applyFill="1" applyAlignment="1">
      <alignment horizontal="left" vertical="center"/>
    </xf>
    <xf numFmtId="0" fontId="45" fillId="2" borderId="11" xfId="0" applyFont="1" applyFill="1" applyBorder="1" applyAlignment="1">
      <alignment horizontal="center" vertical="center" wrapText="1" shrinkToFit="1"/>
    </xf>
    <xf numFmtId="0" fontId="45" fillId="2" borderId="30" xfId="0" applyFont="1" applyFill="1" applyBorder="1" applyAlignment="1">
      <alignment horizontal="center" vertical="center" wrapText="1" shrinkToFit="1"/>
    </xf>
    <xf numFmtId="0" fontId="45" fillId="2" borderId="37" xfId="0" applyFont="1" applyFill="1" applyBorder="1" applyAlignment="1">
      <alignment horizontal="center" vertical="center" wrapText="1" shrinkToFit="1"/>
    </xf>
    <xf numFmtId="0" fontId="45" fillId="2" borderId="39" xfId="0" applyFont="1" applyFill="1" applyBorder="1" applyAlignment="1">
      <alignment horizontal="center" vertical="center" wrapText="1" shrinkToFit="1"/>
    </xf>
    <xf numFmtId="0" fontId="49" fillId="2" borderId="10" xfId="0" applyFont="1" applyFill="1" applyBorder="1" applyAlignment="1">
      <alignment horizontal="left" vertical="center"/>
    </xf>
    <xf numFmtId="0" fontId="54" fillId="2" borderId="40" xfId="0" applyFont="1" applyFill="1" applyBorder="1" applyAlignment="1">
      <alignment horizontal="center" vertical="center"/>
    </xf>
    <xf numFmtId="0" fontId="54" fillId="2" borderId="128" xfId="0" applyFont="1" applyFill="1" applyBorder="1" applyAlignment="1">
      <alignment horizontal="center" vertical="center"/>
    </xf>
    <xf numFmtId="9" fontId="54" fillId="2" borderId="57" xfId="5" applyFont="1" applyFill="1" applyBorder="1" applyAlignment="1" applyProtection="1">
      <alignment horizontal="center" vertical="center"/>
    </xf>
    <xf numFmtId="9" fontId="54" fillId="2" borderId="42" xfId="5" applyFont="1" applyFill="1" applyBorder="1" applyAlignment="1" applyProtection="1">
      <alignment horizontal="center" vertical="center"/>
    </xf>
    <xf numFmtId="0" fontId="74" fillId="2" borderId="0" xfId="0" applyFont="1" applyFill="1" applyAlignment="1">
      <alignment horizontal="center" vertical="center"/>
    </xf>
    <xf numFmtId="0" fontId="58" fillId="7" borderId="0" xfId="0" applyFont="1" applyFill="1" applyAlignment="1">
      <alignment horizontal="center" vertical="center" shrinkToFit="1"/>
    </xf>
    <xf numFmtId="0" fontId="58" fillId="2" borderId="0" xfId="3" applyFont="1" applyFill="1" applyAlignment="1">
      <alignment horizontal="left" vertical="center" wrapText="1"/>
    </xf>
    <xf numFmtId="0" fontId="45" fillId="2" borderId="0" xfId="0" applyFont="1" applyFill="1" applyAlignment="1">
      <alignment horizontal="left" vertical="center" wrapText="1"/>
    </xf>
    <xf numFmtId="0" fontId="45" fillId="2" borderId="38" xfId="0" applyFont="1" applyFill="1" applyBorder="1" applyAlignment="1">
      <alignment horizontal="left" vertical="center" wrapText="1"/>
    </xf>
    <xf numFmtId="0" fontId="71" fillId="2" borderId="40" xfId="0" applyFont="1" applyFill="1" applyBorder="1" applyAlignment="1">
      <alignment horizontal="center" vertical="center" wrapText="1"/>
    </xf>
    <xf numFmtId="0" fontId="71" fillId="2" borderId="41" xfId="0" applyFont="1" applyFill="1" applyBorder="1" applyAlignment="1">
      <alignment horizontal="center" vertical="center" wrapText="1"/>
    </xf>
    <xf numFmtId="0" fontId="71" fillId="2" borderId="57" xfId="0" applyFont="1" applyFill="1" applyBorder="1" applyAlignment="1">
      <alignment horizontal="center" vertical="center" wrapText="1"/>
    </xf>
    <xf numFmtId="0" fontId="69" fillId="2" borderId="0" xfId="3" applyFont="1" applyFill="1" applyAlignment="1">
      <alignment horizontal="left" vertical="center" shrinkToFit="1"/>
    </xf>
    <xf numFmtId="0" fontId="71" fillId="3" borderId="121" xfId="0" applyFont="1" applyFill="1" applyBorder="1" applyAlignment="1">
      <alignment horizontal="center" vertical="center"/>
    </xf>
    <xf numFmtId="0" fontId="71" fillId="3" borderId="53" xfId="0" applyFont="1" applyFill="1" applyBorder="1" applyAlignment="1">
      <alignment horizontal="center" vertical="center"/>
    </xf>
    <xf numFmtId="0" fontId="71" fillId="3" borderId="123" xfId="0" applyFont="1" applyFill="1" applyBorder="1" applyAlignment="1">
      <alignment horizontal="center" vertical="center"/>
    </xf>
    <xf numFmtId="0" fontId="45" fillId="2" borderId="467" xfId="0" applyFont="1" applyFill="1" applyBorder="1" applyAlignment="1">
      <alignment horizontal="center" vertical="center"/>
    </xf>
    <xf numFmtId="0" fontId="45" fillId="2" borderId="88" xfId="0" applyFont="1" applyFill="1" applyBorder="1" applyAlignment="1">
      <alignment horizontal="center" vertical="center"/>
    </xf>
    <xf numFmtId="0" fontId="45" fillId="2" borderId="469" xfId="0" applyFont="1" applyFill="1" applyBorder="1" applyAlignment="1">
      <alignment horizontal="center" vertical="center"/>
    </xf>
    <xf numFmtId="0" fontId="45" fillId="2" borderId="344" xfId="0" applyFont="1" applyFill="1" applyBorder="1" applyAlignment="1">
      <alignment horizontal="center" vertical="center"/>
    </xf>
    <xf numFmtId="0" fontId="45" fillId="2" borderId="167" xfId="0" applyFont="1" applyFill="1" applyBorder="1" applyAlignment="1">
      <alignment horizontal="center" vertical="center"/>
    </xf>
    <xf numFmtId="0" fontId="45" fillId="2" borderId="89" xfId="0" applyFont="1" applyFill="1" applyBorder="1" applyAlignment="1">
      <alignment horizontal="center" vertical="center"/>
    </xf>
    <xf numFmtId="0" fontId="45" fillId="4" borderId="468" xfId="0" applyFont="1" applyFill="1" applyBorder="1" applyAlignment="1" applyProtection="1">
      <alignment horizontal="center" vertical="center" shrinkToFit="1"/>
      <protection locked="0"/>
    </xf>
    <xf numFmtId="0" fontId="45" fillId="2" borderId="438" xfId="0" applyFont="1" applyFill="1" applyBorder="1" applyAlignment="1">
      <alignment horizontal="center" vertical="center"/>
    </xf>
    <xf numFmtId="0" fontId="45" fillId="2" borderId="251" xfId="0" applyFont="1" applyFill="1" applyBorder="1" applyAlignment="1">
      <alignment horizontal="center" vertical="center"/>
    </xf>
    <xf numFmtId="0" fontId="45" fillId="4" borderId="250" xfId="0" applyFont="1" applyFill="1" applyBorder="1" applyAlignment="1" applyProtection="1">
      <alignment horizontal="center" vertical="center" shrinkToFit="1"/>
      <protection locked="0"/>
    </xf>
    <xf numFmtId="0" fontId="45" fillId="4" borderId="344" xfId="0" applyFont="1" applyFill="1" applyBorder="1" applyAlignment="1" applyProtection="1">
      <alignment horizontal="center" vertical="center" shrinkToFit="1"/>
      <protection locked="0"/>
    </xf>
    <xf numFmtId="0" fontId="45" fillId="4" borderId="470" xfId="0" applyFont="1" applyFill="1" applyBorder="1" applyAlignment="1" applyProtection="1">
      <alignment horizontal="center" vertical="center" shrinkToFit="1"/>
      <protection locked="0"/>
    </xf>
    <xf numFmtId="0" fontId="45" fillId="2" borderId="98" xfId="0" applyFont="1" applyFill="1" applyBorder="1" applyAlignment="1">
      <alignment horizontal="center" vertical="center"/>
    </xf>
    <xf numFmtId="0" fontId="45" fillId="2" borderId="420" xfId="0" applyFont="1" applyFill="1" applyBorder="1" applyAlignment="1">
      <alignment horizontal="center" vertical="center"/>
    </xf>
    <xf numFmtId="0" fontId="45" fillId="2" borderId="36" xfId="0" applyFont="1" applyFill="1" applyBorder="1" applyAlignment="1">
      <alignment horizontal="center" vertical="center"/>
    </xf>
    <xf numFmtId="0" fontId="45" fillId="2" borderId="193" xfId="0" applyFont="1" applyFill="1" applyBorder="1" applyAlignment="1">
      <alignment horizontal="center" vertical="center"/>
    </xf>
    <xf numFmtId="0" fontId="45" fillId="2" borderId="472" xfId="0" applyFont="1" applyFill="1" applyBorder="1" applyAlignment="1">
      <alignment horizontal="center" vertical="center"/>
    </xf>
    <xf numFmtId="0" fontId="45" fillId="2" borderId="192" xfId="0" applyFont="1" applyFill="1" applyBorder="1" applyAlignment="1">
      <alignment horizontal="center" vertical="center"/>
    </xf>
    <xf numFmtId="0" fontId="45" fillId="2" borderId="198" xfId="0" applyFont="1" applyFill="1" applyBorder="1" applyAlignment="1">
      <alignment horizontal="center" vertical="center"/>
    </xf>
    <xf numFmtId="0" fontId="45" fillId="2" borderId="16" xfId="0" applyFont="1" applyFill="1" applyBorder="1" applyAlignment="1">
      <alignment horizontal="center" vertical="center"/>
    </xf>
    <xf numFmtId="0" fontId="45" fillId="4" borderId="61" xfId="0" applyFont="1" applyFill="1" applyBorder="1" applyAlignment="1" applyProtection="1">
      <alignment horizontal="center" vertical="center" shrinkToFit="1"/>
      <protection locked="0"/>
    </xf>
    <xf numFmtId="0" fontId="45" fillId="4" borderId="471" xfId="0" applyFont="1" applyFill="1" applyBorder="1" applyAlignment="1" applyProtection="1">
      <alignment horizontal="center" vertical="center" shrinkToFit="1"/>
      <protection locked="0"/>
    </xf>
    <xf numFmtId="0" fontId="45" fillId="2" borderId="153" xfId="0" applyFont="1" applyFill="1" applyBorder="1" applyAlignment="1">
      <alignment horizontal="center" vertical="center" wrapText="1"/>
    </xf>
    <xf numFmtId="0" fontId="45" fillId="2" borderId="153" xfId="0" applyFont="1" applyFill="1" applyBorder="1" applyAlignment="1">
      <alignment horizontal="center" vertical="center"/>
    </xf>
    <xf numFmtId="0" fontId="45" fillId="2" borderId="154" xfId="0" applyFont="1" applyFill="1" applyBorder="1" applyAlignment="1">
      <alignment horizontal="center" vertical="center"/>
    </xf>
    <xf numFmtId="0" fontId="45" fillId="4" borderId="87" xfId="0" applyFont="1" applyFill="1" applyBorder="1" applyAlignment="1" applyProtection="1">
      <alignment horizontal="center" vertical="center" shrinkToFit="1"/>
      <protection locked="0"/>
    </xf>
    <xf numFmtId="0" fontId="45" fillId="2" borderId="190" xfId="0" applyFont="1" applyFill="1" applyBorder="1" applyAlignment="1">
      <alignment horizontal="center" vertical="center" wrapText="1"/>
    </xf>
    <xf numFmtId="0" fontId="45" fillId="2" borderId="191" xfId="0" applyFont="1" applyFill="1" applyBorder="1" applyAlignment="1">
      <alignment horizontal="center" vertical="center" wrapText="1"/>
    </xf>
    <xf numFmtId="0" fontId="45" fillId="6" borderId="468" xfId="0" applyFont="1" applyFill="1" applyBorder="1" applyAlignment="1" applyProtection="1">
      <alignment horizontal="center" vertical="center" shrinkToFit="1"/>
      <protection locked="0"/>
    </xf>
    <xf numFmtId="0" fontId="45" fillId="2" borderId="473" xfId="0" applyFont="1" applyFill="1" applyBorder="1" applyAlignment="1">
      <alignment horizontal="center" vertical="center"/>
    </xf>
    <xf numFmtId="0" fontId="45" fillId="2" borderId="65" xfId="0" applyFont="1" applyFill="1" applyBorder="1" applyAlignment="1">
      <alignment horizontal="center" vertical="center"/>
    </xf>
    <xf numFmtId="0" fontId="45" fillId="2" borderId="66" xfId="0" applyFont="1" applyFill="1" applyBorder="1" applyAlignment="1">
      <alignment horizontal="center" vertical="center"/>
    </xf>
    <xf numFmtId="0" fontId="45" fillId="4" borderId="64" xfId="0" applyFont="1" applyFill="1" applyBorder="1" applyAlignment="1" applyProtection="1">
      <alignment horizontal="left" vertical="top" wrapText="1"/>
      <protection locked="0"/>
    </xf>
    <xf numFmtId="0" fontId="45" fillId="4" borderId="65" xfId="0" applyFont="1" applyFill="1" applyBorder="1" applyAlignment="1" applyProtection="1">
      <alignment horizontal="left" vertical="top" wrapText="1"/>
      <protection locked="0"/>
    </xf>
    <xf numFmtId="0" fontId="45" fillId="4" borderId="474" xfId="0" applyFont="1" applyFill="1" applyBorder="1" applyAlignment="1" applyProtection="1">
      <alignment horizontal="left" vertical="top" wrapText="1"/>
      <protection locked="0"/>
    </xf>
    <xf numFmtId="0" fontId="45" fillId="4" borderId="21" xfId="0" applyFont="1" applyFill="1" applyBorder="1" applyAlignment="1" applyProtection="1">
      <alignment horizontal="left" vertical="top" wrapText="1"/>
      <protection locked="0"/>
    </xf>
    <xf numFmtId="0" fontId="45" fillId="4" borderId="0" xfId="0" applyFont="1" applyFill="1" applyAlignment="1" applyProtection="1">
      <alignment horizontal="left" vertical="top" wrapText="1"/>
      <protection locked="0"/>
    </xf>
    <xf numFmtId="0" fontId="45" fillId="4" borderId="34" xfId="0" applyFont="1" applyFill="1" applyBorder="1" applyAlignment="1" applyProtection="1">
      <alignment horizontal="left" vertical="top" wrapText="1"/>
      <protection locked="0"/>
    </xf>
    <xf numFmtId="0" fontId="45" fillId="6" borderId="87" xfId="0" applyFont="1" applyFill="1" applyBorder="1" applyAlignment="1" applyProtection="1">
      <alignment horizontal="center" vertical="center" shrinkToFit="1"/>
      <protection locked="0"/>
    </xf>
    <xf numFmtId="0" fontId="45" fillId="6" borderId="250" xfId="0" applyFont="1" applyFill="1" applyBorder="1" applyAlignment="1" applyProtection="1">
      <alignment horizontal="center" vertical="center" shrinkToFit="1"/>
      <protection locked="0"/>
    </xf>
    <xf numFmtId="0" fontId="45" fillId="6" borderId="344" xfId="0" applyFont="1" applyFill="1" applyBorder="1" applyAlignment="1" applyProtection="1">
      <alignment horizontal="center" vertical="center" shrinkToFit="1"/>
      <protection locked="0"/>
    </xf>
    <xf numFmtId="0" fontId="45" fillId="6" borderId="470" xfId="0" applyFont="1" applyFill="1" applyBorder="1" applyAlignment="1" applyProtection="1">
      <alignment horizontal="center" vertical="center" shrinkToFit="1"/>
      <protection locked="0"/>
    </xf>
    <xf numFmtId="0" fontId="13" fillId="2" borderId="211" xfId="3" applyFont="1" applyFill="1" applyBorder="1" applyAlignment="1">
      <alignment horizontal="center" vertical="center" shrinkToFit="1"/>
    </xf>
    <xf numFmtId="0" fontId="13" fillId="2" borderId="212" xfId="3" applyFont="1" applyFill="1" applyBorder="1" applyAlignment="1">
      <alignment horizontal="center" vertical="center" shrinkToFit="1"/>
    </xf>
    <xf numFmtId="0" fontId="13" fillId="3" borderId="110" xfId="3" applyFont="1" applyFill="1" applyBorder="1" applyAlignment="1">
      <alignment horizontal="center" vertical="center"/>
    </xf>
    <xf numFmtId="0" fontId="13" fillId="3" borderId="122" xfId="3" applyFont="1" applyFill="1" applyBorder="1" applyAlignment="1">
      <alignment horizontal="center" vertical="center"/>
    </xf>
    <xf numFmtId="0" fontId="13" fillId="3" borderId="35" xfId="3" applyFont="1" applyFill="1" applyBorder="1" applyAlignment="1">
      <alignment horizontal="center" vertical="center" wrapText="1"/>
    </xf>
    <xf numFmtId="0" fontId="13" fillId="3" borderId="30" xfId="3" applyFont="1" applyFill="1" applyBorder="1" applyAlignment="1">
      <alignment horizontal="center" vertical="center" wrapText="1"/>
    </xf>
    <xf numFmtId="0" fontId="36" fillId="2" borderId="0" xfId="3" applyFont="1" applyFill="1" applyAlignment="1">
      <alignment horizontal="right" vertical="center"/>
    </xf>
    <xf numFmtId="0" fontId="36" fillId="2" borderId="0" xfId="3" applyFont="1" applyFill="1" applyAlignment="1">
      <alignment horizontal="center" vertical="center"/>
    </xf>
    <xf numFmtId="0" fontId="13" fillId="3" borderId="40" xfId="3" applyFont="1" applyFill="1" applyBorder="1" applyAlignment="1">
      <alignment horizontal="center" vertical="center"/>
    </xf>
    <xf numFmtId="0" fontId="13" fillId="3" borderId="41" xfId="3" applyFont="1" applyFill="1" applyBorder="1" applyAlignment="1">
      <alignment horizontal="center" vertical="center"/>
    </xf>
    <xf numFmtId="0" fontId="13" fillId="3" borderId="42" xfId="3" applyFont="1" applyFill="1" applyBorder="1" applyAlignment="1">
      <alignment horizontal="center" vertical="center"/>
    </xf>
    <xf numFmtId="0" fontId="13" fillId="2" borderId="29" xfId="3" applyFont="1" applyFill="1" applyBorder="1" applyAlignment="1">
      <alignment horizontal="left" vertical="center" wrapText="1"/>
    </xf>
    <xf numFmtId="0" fontId="13" fillId="2" borderId="35" xfId="3" applyFont="1" applyFill="1" applyBorder="1" applyAlignment="1">
      <alignment horizontal="left" vertical="center" wrapText="1"/>
    </xf>
    <xf numFmtId="0" fontId="13" fillId="2" borderId="12" xfId="3" applyFont="1" applyFill="1" applyBorder="1" applyAlignment="1">
      <alignment horizontal="left" vertical="center" wrapText="1"/>
    </xf>
    <xf numFmtId="0" fontId="13" fillId="2" borderId="21" xfId="3" applyFont="1" applyFill="1" applyBorder="1" applyAlignment="1">
      <alignment horizontal="left" vertical="center" wrapText="1"/>
    </xf>
    <xf numFmtId="0" fontId="13" fillId="2" borderId="0" xfId="3" applyFont="1" applyFill="1" applyAlignment="1">
      <alignment horizontal="left" vertical="center" wrapText="1"/>
    </xf>
    <xf numFmtId="0" fontId="13" fillId="2" borderId="15" xfId="3" applyFont="1" applyFill="1" applyBorder="1" applyAlignment="1">
      <alignment horizontal="left" vertical="center" wrapText="1"/>
    </xf>
    <xf numFmtId="0" fontId="13" fillId="2" borderId="56" xfId="3" applyFont="1" applyFill="1" applyBorder="1" applyAlignment="1">
      <alignment horizontal="left" vertical="center" wrapText="1"/>
    </xf>
    <xf numFmtId="0" fontId="13" fillId="2" borderId="38" xfId="3" applyFont="1" applyFill="1" applyBorder="1" applyAlignment="1">
      <alignment horizontal="left" vertical="center" wrapText="1"/>
    </xf>
    <xf numFmtId="0" fontId="13" fillId="2" borderId="122" xfId="3" applyFont="1" applyFill="1" applyBorder="1" applyAlignment="1">
      <alignment horizontal="left" vertical="center" wrapText="1"/>
    </xf>
    <xf numFmtId="209" fontId="13" fillId="4" borderId="239" xfId="3" applyNumberFormat="1" applyFont="1" applyFill="1" applyBorder="1" applyAlignment="1" applyProtection="1">
      <alignment horizontal="center" vertical="center" shrinkToFit="1"/>
      <protection locked="0"/>
    </xf>
    <xf numFmtId="209" fontId="13" fillId="4" borderId="286" xfId="3" applyNumberFormat="1" applyFont="1" applyFill="1" applyBorder="1" applyAlignment="1" applyProtection="1">
      <alignment horizontal="center" vertical="center" shrinkToFit="1"/>
      <protection locked="0"/>
    </xf>
    <xf numFmtId="0" fontId="30" fillId="2" borderId="258" xfId="0" applyFont="1" applyFill="1" applyBorder="1" applyAlignment="1">
      <alignment horizontal="center" vertical="center"/>
    </xf>
    <xf numFmtId="0" fontId="30" fillId="2" borderId="80" xfId="0" applyFont="1" applyFill="1" applyBorder="1" applyAlignment="1">
      <alignment horizontal="center" vertical="center"/>
    </xf>
    <xf numFmtId="0" fontId="13" fillId="4" borderId="64" xfId="3" applyFont="1" applyFill="1" applyBorder="1" applyAlignment="1" applyProtection="1">
      <alignment horizontal="left" vertical="top" wrapText="1"/>
      <protection locked="0"/>
    </xf>
    <xf numFmtId="0" fontId="13" fillId="4" borderId="65" xfId="3" applyFont="1" applyFill="1" applyBorder="1" applyAlignment="1" applyProtection="1">
      <alignment horizontal="left" vertical="top" wrapText="1"/>
      <protection locked="0"/>
    </xf>
    <xf numFmtId="0" fontId="13" fillId="4" borderId="66" xfId="3" applyFont="1" applyFill="1" applyBorder="1" applyAlignment="1" applyProtection="1">
      <alignment horizontal="left" vertical="top" wrapText="1"/>
      <protection locked="0"/>
    </xf>
    <xf numFmtId="0" fontId="13" fillId="4" borderId="56" xfId="3" applyFont="1" applyFill="1" applyBorder="1" applyAlignment="1" applyProtection="1">
      <alignment horizontal="left" vertical="top" wrapText="1"/>
      <protection locked="0"/>
    </xf>
    <xf numFmtId="0" fontId="13" fillId="4" borderId="38" xfId="3" applyFont="1" applyFill="1" applyBorder="1" applyAlignment="1" applyProtection="1">
      <alignment horizontal="left" vertical="top" wrapText="1"/>
      <protection locked="0"/>
    </xf>
    <xf numFmtId="0" fontId="13" fillId="4" borderId="122" xfId="3" applyFont="1" applyFill="1" applyBorder="1" applyAlignment="1" applyProtection="1">
      <alignment horizontal="left" vertical="top" wrapText="1"/>
      <protection locked="0"/>
    </xf>
    <xf numFmtId="0" fontId="13" fillId="3" borderId="287" xfId="3" applyFont="1" applyFill="1" applyBorder="1" applyAlignment="1">
      <alignment horizontal="center" vertical="center"/>
    </xf>
    <xf numFmtId="0" fontId="13" fillId="3" borderId="116" xfId="3" applyFont="1" applyFill="1" applyBorder="1" applyAlignment="1">
      <alignment horizontal="center" vertical="center"/>
    </xf>
    <xf numFmtId="0" fontId="13" fillId="3" borderId="288" xfId="3" applyFont="1" applyFill="1" applyBorder="1" applyAlignment="1">
      <alignment horizontal="center" vertical="center"/>
    </xf>
    <xf numFmtId="0" fontId="13" fillId="3" borderId="272" xfId="3" applyFont="1" applyFill="1" applyBorder="1" applyAlignment="1">
      <alignment horizontal="center" vertical="center"/>
    </xf>
    <xf numFmtId="0" fontId="13" fillId="3" borderId="160" xfId="3" applyFont="1" applyFill="1" applyBorder="1" applyAlignment="1">
      <alignment horizontal="center" vertical="center"/>
    </xf>
    <xf numFmtId="0" fontId="13" fillId="3" borderId="161" xfId="3" applyFont="1" applyFill="1" applyBorder="1" applyAlignment="1">
      <alignment horizontal="center" vertical="center"/>
    </xf>
    <xf numFmtId="0" fontId="13" fillId="3" borderId="289" xfId="3" applyFont="1" applyFill="1" applyBorder="1" applyAlignment="1">
      <alignment horizontal="center" vertical="center" shrinkToFit="1"/>
    </xf>
    <xf numFmtId="0" fontId="13" fillId="3" borderId="288" xfId="3" applyFont="1" applyFill="1" applyBorder="1" applyAlignment="1">
      <alignment horizontal="center" vertical="center" shrinkToFit="1"/>
    </xf>
    <xf numFmtId="0" fontId="42" fillId="3" borderId="34" xfId="3" applyFont="1" applyFill="1" applyBorder="1" applyAlignment="1">
      <alignment horizontal="center" vertical="center" wrapText="1"/>
    </xf>
    <xf numFmtId="0" fontId="42" fillId="3" borderId="39" xfId="3" applyFont="1" applyFill="1" applyBorder="1" applyAlignment="1">
      <alignment horizontal="center" vertical="center"/>
    </xf>
    <xf numFmtId="0" fontId="13" fillId="2" borderId="198" xfId="3" applyFont="1" applyFill="1" applyBorder="1" applyAlignment="1">
      <alignment horizontal="left" vertical="center" shrinkToFit="1"/>
    </xf>
    <xf numFmtId="0" fontId="13" fillId="2" borderId="32" xfId="3" applyFont="1" applyFill="1" applyBorder="1" applyAlignment="1">
      <alignment horizontal="left" vertical="center" shrinkToFit="1"/>
    </xf>
    <xf numFmtId="0" fontId="13" fillId="3" borderId="11" xfId="3" applyFont="1" applyFill="1" applyBorder="1" applyAlignment="1">
      <alignment horizontal="center" vertical="center" shrinkToFit="1"/>
    </xf>
    <xf numFmtId="0" fontId="13" fillId="3" borderId="12" xfId="3" applyFont="1" applyFill="1" applyBorder="1" applyAlignment="1">
      <alignment horizontal="center" vertical="center" shrinkToFit="1"/>
    </xf>
    <xf numFmtId="0" fontId="13" fillId="3" borderId="29" xfId="3" applyFont="1" applyFill="1" applyBorder="1" applyAlignment="1">
      <alignment horizontal="center" vertical="center" shrinkToFit="1"/>
    </xf>
    <xf numFmtId="0" fontId="13" fillId="3" borderId="35" xfId="3" applyFont="1" applyFill="1" applyBorder="1" applyAlignment="1">
      <alignment horizontal="center" vertical="center" shrinkToFit="1"/>
    </xf>
    <xf numFmtId="0" fontId="13" fillId="3" borderId="21" xfId="3" applyFont="1" applyFill="1" applyBorder="1" applyAlignment="1">
      <alignment horizontal="center" vertical="center" shrinkToFit="1"/>
    </xf>
    <xf numFmtId="0" fontId="13" fillId="3" borderId="56" xfId="3" applyFont="1" applyFill="1" applyBorder="1" applyAlignment="1">
      <alignment horizontal="center" vertical="center" shrinkToFit="1"/>
    </xf>
    <xf numFmtId="0" fontId="30" fillId="3" borderId="76" xfId="0" applyFont="1" applyFill="1" applyBorder="1" applyAlignment="1">
      <alignment horizontal="center" vertical="center" shrinkToFit="1"/>
    </xf>
    <xf numFmtId="0" fontId="30" fillId="3" borderId="127" xfId="0" applyFont="1" applyFill="1" applyBorder="1" applyAlignment="1">
      <alignment horizontal="center" vertical="center" shrinkToFit="1"/>
    </xf>
    <xf numFmtId="0" fontId="30" fillId="3" borderId="132" xfId="0" applyFont="1" applyFill="1" applyBorder="1" applyAlignment="1">
      <alignment horizontal="center" vertical="center" shrinkToFit="1"/>
    </xf>
    <xf numFmtId="0" fontId="13" fillId="2" borderId="0" xfId="3" applyFont="1" applyFill="1" applyAlignment="1">
      <alignment horizontal="left" vertical="center"/>
    </xf>
    <xf numFmtId="0" fontId="13" fillId="3" borderId="36" xfId="3" applyFont="1" applyFill="1" applyBorder="1" applyAlignment="1">
      <alignment horizontal="center" vertical="center" shrinkToFit="1"/>
    </xf>
    <xf numFmtId="0" fontId="13" fillId="3" borderId="15" xfId="3" applyFont="1" applyFill="1" applyBorder="1" applyAlignment="1">
      <alignment horizontal="center" vertical="center" shrinkToFit="1"/>
    </xf>
    <xf numFmtId="0" fontId="13" fillId="3" borderId="37" xfId="3" applyFont="1" applyFill="1" applyBorder="1" applyAlignment="1">
      <alignment horizontal="center" vertical="center" shrinkToFit="1"/>
    </xf>
    <xf numFmtId="0" fontId="13" fillId="3" borderId="122" xfId="3" applyFont="1" applyFill="1" applyBorder="1" applyAlignment="1">
      <alignment horizontal="center" vertical="center" shrinkToFit="1"/>
    </xf>
    <xf numFmtId="0" fontId="13" fillId="2" borderId="220" xfId="3" applyFont="1" applyFill="1" applyBorder="1" applyAlignment="1">
      <alignment horizontal="center" vertical="center" shrinkToFit="1"/>
    </xf>
    <xf numFmtId="0" fontId="13" fillId="2" borderId="221" xfId="3" applyFont="1" applyFill="1" applyBorder="1" applyAlignment="1">
      <alignment horizontal="center" vertical="center" shrinkToFit="1"/>
    </xf>
    <xf numFmtId="0" fontId="13" fillId="2" borderId="214" xfId="3" applyFont="1" applyFill="1" applyBorder="1" applyAlignment="1">
      <alignment horizontal="center" vertical="center" shrinkToFit="1"/>
    </xf>
    <xf numFmtId="0" fontId="13" fillId="2" borderId="215" xfId="3" applyFont="1" applyFill="1" applyBorder="1" applyAlignment="1">
      <alignment horizontal="center" vertical="center" shrinkToFit="1"/>
    </xf>
    <xf numFmtId="0" fontId="13" fillId="3" borderId="88" xfId="3" applyFont="1" applyFill="1" applyBorder="1" applyAlignment="1">
      <alignment horizontal="center" vertical="center" shrinkToFit="1"/>
    </xf>
    <xf numFmtId="0" fontId="13" fillId="3" borderId="89" xfId="3" applyFont="1" applyFill="1" applyBorder="1" applyAlignment="1">
      <alignment horizontal="center" vertical="center" shrinkToFit="1"/>
    </xf>
    <xf numFmtId="0" fontId="37" fillId="3" borderId="157" xfId="3" applyFont="1" applyFill="1" applyBorder="1" applyAlignment="1">
      <alignment horizontal="center" vertical="center" wrapText="1" shrinkToFit="1"/>
    </xf>
    <xf numFmtId="0" fontId="37" fillId="3" borderId="315" xfId="3" applyFont="1" applyFill="1" applyBorder="1" applyAlignment="1">
      <alignment horizontal="center" vertical="center" wrapText="1" shrinkToFit="1"/>
    </xf>
    <xf numFmtId="14" fontId="13" fillId="3" borderId="9" xfId="3" applyNumberFormat="1" applyFont="1" applyFill="1" applyBorder="1" applyAlignment="1">
      <alignment horizontal="center" vertical="center" shrinkToFit="1"/>
    </xf>
    <xf numFmtId="14" fontId="13" fillId="3" borderId="80" xfId="3" applyNumberFormat="1" applyFont="1" applyFill="1" applyBorder="1" applyAlignment="1">
      <alignment horizontal="center" vertical="center" shrinkToFit="1"/>
    </xf>
    <xf numFmtId="0" fontId="13" fillId="3" borderId="310" xfId="3" applyFont="1" applyFill="1" applyBorder="1" applyAlignment="1">
      <alignment horizontal="center" vertical="center" shrinkToFit="1"/>
    </xf>
    <xf numFmtId="0" fontId="13" fillId="3" borderId="314" xfId="3" applyFont="1" applyFill="1" applyBorder="1" applyAlignment="1">
      <alignment horizontal="center" vertical="center" shrinkToFit="1"/>
    </xf>
    <xf numFmtId="195" fontId="13" fillId="3" borderId="157" xfId="3" applyNumberFormat="1" applyFont="1" applyFill="1" applyBorder="1" applyAlignment="1">
      <alignment horizontal="center" vertical="center" shrinkToFit="1"/>
    </xf>
    <xf numFmtId="195" fontId="13" fillId="3" borderId="315" xfId="3" applyNumberFormat="1" applyFont="1" applyFill="1" applyBorder="1" applyAlignment="1">
      <alignment horizontal="center" vertical="center" shrinkToFit="1"/>
    </xf>
    <xf numFmtId="0" fontId="13" fillId="3" borderId="259" xfId="3" applyFont="1" applyFill="1" applyBorder="1" applyAlignment="1">
      <alignment horizontal="center" vertical="center" shrinkToFit="1"/>
    </xf>
    <xf numFmtId="0" fontId="13" fillId="3" borderId="316" xfId="3" applyFont="1" applyFill="1" applyBorder="1" applyAlignment="1">
      <alignment horizontal="center" vertical="center" shrinkToFit="1"/>
    </xf>
    <xf numFmtId="0" fontId="13" fillId="3" borderId="157" xfId="3" applyFont="1" applyFill="1" applyBorder="1" applyAlignment="1">
      <alignment horizontal="center" vertical="center" shrinkToFit="1"/>
    </xf>
    <xf numFmtId="0" fontId="13" fillId="3" borderId="315" xfId="3" applyFont="1" applyFill="1" applyBorder="1" applyAlignment="1">
      <alignment horizontal="center" vertical="center" shrinkToFit="1"/>
    </xf>
    <xf numFmtId="0" fontId="13" fillId="3" borderId="259" xfId="3" applyFont="1" applyFill="1" applyBorder="1" applyAlignment="1">
      <alignment horizontal="center" vertical="center" wrapText="1" shrinkToFit="1"/>
    </xf>
    <xf numFmtId="0" fontId="13" fillId="3" borderId="156" xfId="3" applyFont="1" applyFill="1" applyBorder="1" applyAlignment="1">
      <alignment horizontal="center" vertical="center" shrinkToFit="1"/>
    </xf>
    <xf numFmtId="0" fontId="13" fillId="3" borderId="317" xfId="3" applyFont="1" applyFill="1" applyBorder="1" applyAlignment="1">
      <alignment horizontal="center" vertical="center" shrinkToFit="1"/>
    </xf>
    <xf numFmtId="0" fontId="13" fillId="18" borderId="6" xfId="0" applyFont="1" applyFill="1" applyBorder="1" applyAlignment="1">
      <alignment horizontal="center" vertical="center"/>
    </xf>
    <xf numFmtId="0" fontId="13" fillId="18" borderId="9" xfId="0" applyFont="1" applyFill="1" applyBorder="1" applyAlignment="1">
      <alignment horizontal="center" vertical="center"/>
    </xf>
    <xf numFmtId="0" fontId="30" fillId="0" borderId="329" xfId="0" applyFont="1" applyBorder="1" applyAlignment="1">
      <alignment horizontal="center" vertical="center" wrapText="1" shrinkToFit="1"/>
    </xf>
    <xf numFmtId="0" fontId="30" fillId="0" borderId="0" xfId="0" applyFont="1" applyAlignment="1">
      <alignment horizontal="center" vertical="center" wrapText="1" shrinkToFit="1"/>
    </xf>
    <xf numFmtId="0" fontId="30" fillId="0" borderId="57" xfId="0" applyFont="1" applyBorder="1" applyAlignment="1">
      <alignment horizontal="center" vertical="center" shrinkToFit="1"/>
    </xf>
    <xf numFmtId="0" fontId="30" fillId="0" borderId="41" xfId="0" applyFont="1" applyBorder="1" applyAlignment="1">
      <alignment horizontal="center" vertical="center" shrinkToFit="1"/>
    </xf>
    <xf numFmtId="0" fontId="30" fillId="0" borderId="42" xfId="0" applyFont="1" applyBorder="1" applyAlignment="1">
      <alignment horizontal="center" vertical="center" shrinkToFit="1"/>
    </xf>
    <xf numFmtId="0" fontId="30" fillId="0" borderId="0" xfId="0" applyFont="1" applyAlignment="1">
      <alignment horizontal="center" vertical="top" wrapText="1" shrinkToFit="1"/>
    </xf>
    <xf numFmtId="0" fontId="37" fillId="3" borderId="259" xfId="3" applyFont="1" applyFill="1" applyBorder="1" applyAlignment="1">
      <alignment horizontal="center" vertical="center" wrapText="1" shrinkToFit="1"/>
    </xf>
    <xf numFmtId="0" fontId="37" fillId="3" borderId="316" xfId="3" applyFont="1" applyFill="1" applyBorder="1" applyAlignment="1">
      <alignment horizontal="center" vertical="center" shrinkToFit="1"/>
    </xf>
    <xf numFmtId="0" fontId="30" fillId="0" borderId="23" xfId="0" applyFont="1" applyBorder="1" applyAlignment="1">
      <alignment horizontal="center" vertical="center" shrinkToFit="1"/>
    </xf>
    <xf numFmtId="0" fontId="30" fillId="0" borderId="128" xfId="0" applyFont="1" applyBorder="1" applyAlignment="1">
      <alignment horizontal="center" vertical="center" shrinkToFit="1"/>
    </xf>
    <xf numFmtId="0" fontId="30" fillId="0" borderId="24" xfId="0" applyFont="1" applyBorder="1" applyAlignment="1">
      <alignment horizontal="center" vertical="center" shrinkToFit="1"/>
    </xf>
    <xf numFmtId="0" fontId="30" fillId="0" borderId="52" xfId="0" applyFont="1" applyBorder="1" applyAlignment="1">
      <alignment horizontal="center" vertical="center" shrinkToFit="1"/>
    </xf>
    <xf numFmtId="0" fontId="30" fillId="0" borderId="76" xfId="0" applyFont="1" applyBorder="1" applyAlignment="1">
      <alignment horizontal="center" vertical="center" shrinkToFit="1"/>
    </xf>
    <xf numFmtId="0" fontId="30" fillId="0" borderId="128" xfId="0" applyFont="1" applyBorder="1" applyAlignment="1">
      <alignment horizontal="center" vertical="center"/>
    </xf>
    <xf numFmtId="0" fontId="30" fillId="0" borderId="24" xfId="0" applyFont="1" applyBorder="1" applyAlignment="1">
      <alignment horizontal="center" vertical="center"/>
    </xf>
    <xf numFmtId="0" fontId="30" fillId="0" borderId="25" xfId="0" applyFont="1" applyBorder="1" applyAlignment="1">
      <alignment horizontal="center" vertical="center"/>
    </xf>
    <xf numFmtId="0" fontId="30" fillId="0" borderId="37" xfId="0" applyFont="1" applyBorder="1" applyAlignment="1">
      <alignment horizontal="center" vertical="center"/>
    </xf>
    <xf numFmtId="0" fontId="30" fillId="0" borderId="39" xfId="0" applyFont="1" applyBorder="1" applyAlignment="1">
      <alignment horizontal="center" vertical="center"/>
    </xf>
    <xf numFmtId="0" fontId="30" fillId="0" borderId="40" xfId="0" applyFont="1" applyBorder="1" applyAlignment="1">
      <alignment horizontal="center" vertical="center"/>
    </xf>
    <xf numFmtId="0" fontId="30" fillId="0" borderId="41" xfId="0" applyFont="1" applyBorder="1" applyAlignment="1">
      <alignment horizontal="center" vertical="center"/>
    </xf>
    <xf numFmtId="0" fontId="30" fillId="0" borderId="42" xfId="0" applyFont="1" applyBorder="1" applyAlignment="1">
      <alignment horizontal="center" vertical="center"/>
    </xf>
    <xf numFmtId="0" fontId="13" fillId="3" borderId="4" xfId="0" applyFont="1" applyFill="1" applyBorder="1" applyAlignment="1">
      <alignment horizontal="left" vertical="center"/>
    </xf>
    <xf numFmtId="0" fontId="30" fillId="2" borderId="535" xfId="0" applyFont="1" applyFill="1" applyBorder="1" applyAlignment="1">
      <alignment horizontal="center" vertical="center" shrinkToFit="1"/>
    </xf>
    <xf numFmtId="0" fontId="30" fillId="2" borderId="21" xfId="0" applyFont="1" applyFill="1" applyBorder="1" applyAlignment="1">
      <alignment horizontal="center" vertical="center" shrinkToFit="1"/>
    </xf>
    <xf numFmtId="0" fontId="4" fillId="2" borderId="52" xfId="3" applyFont="1" applyFill="1" applyBorder="1" applyAlignment="1">
      <alignment horizontal="center" vertical="center" shrinkToFit="1"/>
    </xf>
    <xf numFmtId="0" fontId="4" fillId="2" borderId="51" xfId="3" applyFont="1" applyFill="1" applyBorder="1" applyAlignment="1">
      <alignment horizontal="center" vertical="center" shrinkToFit="1"/>
    </xf>
    <xf numFmtId="0" fontId="4" fillId="2" borderId="1" xfId="3" applyFont="1" applyFill="1" applyBorder="1" applyAlignment="1">
      <alignment horizontal="center" vertical="center" shrinkToFit="1"/>
    </xf>
    <xf numFmtId="0" fontId="4" fillId="2" borderId="9" xfId="3" applyFont="1" applyFill="1" applyBorder="1" applyAlignment="1">
      <alignment horizontal="center" vertical="center" shrinkToFit="1"/>
    </xf>
    <xf numFmtId="0" fontId="4" fillId="2" borderId="80" xfId="3" applyFont="1" applyFill="1" applyBorder="1" applyAlignment="1">
      <alignment horizontal="center" vertical="center" shrinkToFit="1"/>
    </xf>
    <xf numFmtId="0" fontId="4" fillId="2" borderId="27" xfId="3" applyFont="1" applyFill="1" applyBorder="1" applyAlignment="1">
      <alignment horizontal="center" vertical="center" shrinkToFit="1"/>
    </xf>
    <xf numFmtId="0" fontId="4" fillId="2" borderId="75" xfId="3" applyFont="1" applyFill="1" applyBorder="1" applyAlignment="1">
      <alignment horizontal="center" vertical="center" shrinkToFit="1"/>
    </xf>
    <xf numFmtId="0" fontId="41" fillId="2" borderId="38" xfId="3" applyFont="1" applyFill="1" applyBorder="1" applyAlignment="1">
      <alignment horizontal="center" vertical="center" shrinkToFit="1"/>
    </xf>
    <xf numFmtId="0" fontId="8" fillId="2" borderId="0" xfId="3" applyFont="1" applyFill="1" applyAlignment="1">
      <alignment horizontal="center" vertical="center" shrinkToFit="1"/>
    </xf>
    <xf numFmtId="0" fontId="8" fillId="2" borderId="0" xfId="3" applyFont="1" applyFill="1" applyAlignment="1">
      <alignment horizontal="left" vertical="center" shrinkToFit="1"/>
    </xf>
    <xf numFmtId="0" fontId="4" fillId="7" borderId="0" xfId="3" applyFont="1" applyFill="1" applyAlignment="1">
      <alignment horizontal="center" vertical="center" shrinkToFit="1"/>
    </xf>
    <xf numFmtId="0" fontId="41" fillId="2" borderId="41" xfId="3" applyFont="1" applyFill="1" applyBorder="1" applyAlignment="1">
      <alignment horizontal="center" vertical="center" shrinkToFit="1"/>
    </xf>
    <xf numFmtId="0" fontId="41" fillId="2" borderId="42" xfId="3" applyFont="1" applyFill="1" applyBorder="1" applyAlignment="1">
      <alignment horizontal="center" vertical="center" shrinkToFit="1"/>
    </xf>
    <xf numFmtId="179" fontId="4" fillId="2" borderId="40" xfId="3" applyNumberFormat="1" applyFont="1" applyFill="1" applyBorder="1" applyAlignment="1">
      <alignment horizontal="center" shrinkToFit="1"/>
    </xf>
    <xf numFmtId="179" fontId="4" fillId="2" borderId="41" xfId="3" applyNumberFormat="1" applyFont="1" applyFill="1" applyBorder="1" applyAlignment="1">
      <alignment horizontal="center" shrinkToFit="1"/>
    </xf>
    <xf numFmtId="179" fontId="4" fillId="2" borderId="42" xfId="3" applyNumberFormat="1" applyFont="1" applyFill="1" applyBorder="1" applyAlignment="1">
      <alignment horizontal="center" shrinkToFit="1"/>
    </xf>
    <xf numFmtId="0" fontId="4" fillId="4" borderId="69" xfId="3" applyFont="1" applyFill="1" applyBorder="1" applyAlignment="1" applyProtection="1">
      <alignment horizontal="center" vertical="center" shrinkToFit="1"/>
      <protection locked="0"/>
    </xf>
    <xf numFmtId="0" fontId="4" fillId="4" borderId="70" xfId="3" applyFont="1" applyFill="1" applyBorder="1" applyAlignment="1" applyProtection="1">
      <alignment horizontal="center" vertical="center" shrinkToFit="1"/>
      <protection locked="0"/>
    </xf>
    <xf numFmtId="0" fontId="4" fillId="2" borderId="0" xfId="3" applyFont="1" applyFill="1" applyAlignment="1">
      <alignment horizontal="center" vertical="center" shrinkToFit="1"/>
    </xf>
    <xf numFmtId="0" fontId="4" fillId="2" borderId="38" xfId="3" applyFont="1" applyFill="1" applyBorder="1" applyAlignment="1">
      <alignment horizontal="center" vertical="center" shrinkToFit="1"/>
    </xf>
    <xf numFmtId="0" fontId="4" fillId="2" borderId="187" xfId="3" applyFont="1" applyFill="1" applyBorder="1" applyAlignment="1">
      <alignment horizontal="center" vertical="center" shrinkToFit="1"/>
    </xf>
    <xf numFmtId="0" fontId="4" fillId="2" borderId="16" xfId="3" applyFont="1" applyFill="1" applyBorder="1" applyAlignment="1">
      <alignment horizontal="center" vertical="center" shrinkToFit="1"/>
    </xf>
    <xf numFmtId="0" fontId="4" fillId="2" borderId="56" xfId="3" applyFont="1" applyFill="1" applyBorder="1" applyAlignment="1">
      <alignment horizontal="center" vertical="center" shrinkToFit="1"/>
    </xf>
    <xf numFmtId="0" fontId="4" fillId="2" borderId="122" xfId="3" applyFont="1" applyFill="1" applyBorder="1" applyAlignment="1">
      <alignment horizontal="center" vertical="center" shrinkToFit="1"/>
    </xf>
    <xf numFmtId="197" fontId="4" fillId="2" borderId="76" xfId="3" applyNumberFormat="1" applyFont="1" applyFill="1" applyBorder="1" applyAlignment="1">
      <alignment horizontal="center" vertical="center" shrinkToFit="1"/>
    </xf>
    <xf numFmtId="197" fontId="4" fillId="2" borderId="127" xfId="3" applyNumberFormat="1" applyFont="1" applyFill="1" applyBorder="1" applyAlignment="1">
      <alignment horizontal="center" vertical="center" shrinkToFit="1"/>
    </xf>
    <xf numFmtId="0" fontId="4" fillId="2" borderId="17" xfId="3" applyFont="1" applyFill="1" applyBorder="1" applyAlignment="1">
      <alignment horizontal="center" vertical="center" shrinkToFit="1"/>
    </xf>
    <xf numFmtId="0" fontId="4" fillId="2" borderId="186" xfId="3" applyFont="1" applyFill="1" applyBorder="1" applyAlignment="1">
      <alignment horizontal="center" vertical="center" shrinkToFit="1"/>
    </xf>
    <xf numFmtId="0" fontId="4" fillId="2" borderId="28" xfId="3" applyFont="1" applyFill="1" applyBorder="1" applyAlignment="1">
      <alignment horizontal="center" vertical="center" shrinkToFit="1"/>
    </xf>
    <xf numFmtId="0" fontId="4" fillId="2" borderId="55" xfId="3" applyFont="1" applyFill="1" applyBorder="1" applyAlignment="1">
      <alignment horizontal="center" vertical="center" shrinkToFit="1"/>
    </xf>
    <xf numFmtId="0" fontId="32" fillId="2" borderId="220" xfId="3" applyFont="1" applyFill="1" applyBorder="1" applyAlignment="1">
      <alignment horizontal="center" vertical="center" shrinkToFit="1"/>
    </xf>
    <xf numFmtId="0" fontId="32" fillId="2" borderId="221" xfId="3" applyFont="1" applyFill="1" applyBorder="1" applyAlignment="1">
      <alignment horizontal="center" vertical="center" shrinkToFit="1"/>
    </xf>
    <xf numFmtId="0" fontId="32" fillId="2" borderId="211" xfId="3" applyFont="1" applyFill="1" applyBorder="1" applyAlignment="1">
      <alignment horizontal="center" vertical="center" shrinkToFit="1"/>
    </xf>
    <xf numFmtId="0" fontId="32" fillId="2" borderId="212" xfId="3" applyFont="1" applyFill="1" applyBorder="1" applyAlignment="1">
      <alignment horizontal="center" vertical="center" shrinkToFit="1"/>
    </xf>
    <xf numFmtId="0" fontId="4" fillId="2" borderId="6" xfId="3" applyFont="1" applyFill="1" applyBorder="1" applyAlignment="1">
      <alignment horizontal="center" vertical="center" shrinkToFit="1"/>
    </xf>
    <xf numFmtId="0" fontId="4" fillId="2" borderId="40" xfId="3" applyFont="1" applyFill="1" applyBorder="1" applyAlignment="1">
      <alignment horizontal="center" shrinkToFit="1"/>
    </xf>
    <xf numFmtId="0" fontId="4" fillId="2" borderId="41" xfId="3" applyFont="1" applyFill="1" applyBorder="1" applyAlignment="1">
      <alignment horizontal="center" shrinkToFit="1"/>
    </xf>
    <xf numFmtId="0" fontId="4" fillId="2" borderId="42" xfId="3" applyFont="1" applyFill="1" applyBorder="1" applyAlignment="1">
      <alignment horizontal="center" shrinkToFit="1"/>
    </xf>
    <xf numFmtId="0" fontId="4" fillId="4" borderId="137" xfId="3" applyFont="1" applyFill="1" applyBorder="1" applyAlignment="1" applyProtection="1">
      <alignment horizontal="center" vertical="center" shrinkToFit="1"/>
      <protection locked="0"/>
    </xf>
    <xf numFmtId="0" fontId="4" fillId="4" borderId="135" xfId="3" applyFont="1" applyFill="1" applyBorder="1" applyAlignment="1" applyProtection="1">
      <alignment horizontal="center" vertical="center" shrinkToFit="1"/>
      <protection locked="0"/>
    </xf>
    <xf numFmtId="0" fontId="13" fillId="2" borderId="36" xfId="3" applyFont="1" applyFill="1" applyBorder="1" applyAlignment="1">
      <alignment horizontal="left" shrinkToFit="1"/>
    </xf>
    <xf numFmtId="0" fontId="13" fillId="2" borderId="0" xfId="3" applyFont="1" applyFill="1" applyAlignment="1">
      <alignment horizontal="left" shrinkToFit="1"/>
    </xf>
    <xf numFmtId="0" fontId="4" fillId="2" borderId="15" xfId="3" applyFont="1" applyFill="1" applyBorder="1" applyAlignment="1">
      <alignment horizontal="center" vertical="center" shrinkToFit="1"/>
    </xf>
    <xf numFmtId="0" fontId="13" fillId="2" borderId="37" xfId="3" applyFont="1" applyFill="1" applyBorder="1" applyAlignment="1">
      <alignment horizontal="left" shrinkToFit="1"/>
    </xf>
    <xf numFmtId="0" fontId="13" fillId="2" borderId="38" xfId="3" applyFont="1" applyFill="1" applyBorder="1" applyAlignment="1">
      <alignment horizontal="left" shrinkToFit="1"/>
    </xf>
    <xf numFmtId="0" fontId="32" fillId="2" borderId="217" xfId="3" applyFont="1" applyFill="1" applyBorder="1" applyAlignment="1">
      <alignment horizontal="center" vertical="center" shrinkToFit="1"/>
    </xf>
    <xf numFmtId="0" fontId="32" fillId="2" borderId="228" xfId="3" applyFont="1" applyFill="1" applyBorder="1" applyAlignment="1">
      <alignment horizontal="center" vertical="center" shrinkToFit="1"/>
    </xf>
    <xf numFmtId="0" fontId="4" fillId="2" borderId="23" xfId="3" applyFont="1" applyFill="1" applyBorder="1" applyAlignment="1">
      <alignment horizontal="center" shrinkToFit="1"/>
    </xf>
    <xf numFmtId="0" fontId="4" fillId="2" borderId="24" xfId="3" applyFont="1" applyFill="1" applyBorder="1" applyAlignment="1">
      <alignment horizontal="center" shrinkToFit="1"/>
    </xf>
    <xf numFmtId="0" fontId="41" fillId="0" borderId="0" xfId="1" applyFont="1" applyAlignment="1">
      <alignment horizontal="center" vertical="center"/>
    </xf>
    <xf numFmtId="0" fontId="8" fillId="2" borderId="0" xfId="1" applyFont="1" applyFill="1" applyAlignment="1">
      <alignment horizontal="right" vertical="center"/>
    </xf>
    <xf numFmtId="0" fontId="41" fillId="2" borderId="52" xfId="1" applyFont="1" applyFill="1" applyBorder="1" applyAlignment="1">
      <alignment horizontal="center" vertical="center"/>
    </xf>
    <xf numFmtId="0" fontId="4" fillId="2" borderId="54" xfId="1" applyFont="1" applyFill="1" applyBorder="1" applyAlignment="1">
      <alignment horizontal="center" vertical="center"/>
    </xf>
    <xf numFmtId="0" fontId="41" fillId="2" borderId="27" xfId="1" applyFont="1" applyFill="1" applyBorder="1" applyAlignment="1">
      <alignment horizontal="center" vertical="center"/>
    </xf>
    <xf numFmtId="0" fontId="41" fillId="2" borderId="53" xfId="1" applyFont="1" applyFill="1" applyBorder="1" applyAlignment="1">
      <alignment horizontal="center" vertical="center"/>
    </xf>
    <xf numFmtId="0" fontId="17" fillId="4" borderId="29" xfId="1" applyFont="1" applyFill="1" applyBorder="1" applyAlignment="1" applyProtection="1">
      <alignment horizontal="center" vertical="center" wrapText="1"/>
      <protection locked="0"/>
    </xf>
    <xf numFmtId="0" fontId="17" fillId="4" borderId="35" xfId="1" applyFont="1" applyFill="1" applyBorder="1" applyAlignment="1" applyProtection="1">
      <alignment horizontal="center" vertical="center" wrapText="1"/>
      <protection locked="0"/>
    </xf>
    <xf numFmtId="0" fontId="17" fillId="4" borderId="30" xfId="1" applyFont="1" applyFill="1" applyBorder="1" applyAlignment="1" applyProtection="1">
      <alignment horizontal="center" vertical="center" wrapText="1"/>
      <protection locked="0"/>
    </xf>
    <xf numFmtId="0" fontId="17" fillId="4" borderId="56" xfId="1" applyFont="1" applyFill="1" applyBorder="1" applyAlignment="1" applyProtection="1">
      <alignment horizontal="center" vertical="center" wrapText="1"/>
      <protection locked="0"/>
    </xf>
    <xf numFmtId="0" fontId="17" fillId="4" borderId="38" xfId="1" applyFont="1" applyFill="1" applyBorder="1" applyAlignment="1" applyProtection="1">
      <alignment horizontal="center" vertical="center" wrapText="1"/>
      <protection locked="0"/>
    </xf>
    <xf numFmtId="0" fontId="17" fillId="4" borderId="39" xfId="1" applyFont="1" applyFill="1" applyBorder="1" applyAlignment="1" applyProtection="1">
      <alignment horizontal="center" vertical="center" wrapText="1"/>
      <protection locked="0"/>
    </xf>
    <xf numFmtId="176" fontId="4" fillId="2" borderId="28" xfId="1" applyNumberFormat="1" applyFont="1" applyFill="1" applyBorder="1" applyAlignment="1">
      <alignment horizontal="right" vertical="center"/>
    </xf>
    <xf numFmtId="176" fontId="4" fillId="2" borderId="55" xfId="1" applyNumberFormat="1" applyFont="1" applyFill="1" applyBorder="1" applyAlignment="1">
      <alignment horizontal="right" vertical="center"/>
    </xf>
    <xf numFmtId="0" fontId="13" fillId="4" borderId="48" xfId="1" applyFont="1" applyFill="1" applyBorder="1" applyAlignment="1" applyProtection="1">
      <alignment horizontal="center" vertical="center" wrapText="1" shrinkToFit="1"/>
      <protection locked="0"/>
    </xf>
    <xf numFmtId="0" fontId="13" fillId="4" borderId="7" xfId="1" applyFont="1" applyFill="1" applyBorder="1" applyAlignment="1" applyProtection="1">
      <alignment horizontal="center" vertical="center" wrapText="1" shrinkToFit="1"/>
      <protection locked="0"/>
    </xf>
    <xf numFmtId="0" fontId="13" fillId="4" borderId="6" xfId="1" applyFont="1" applyFill="1" applyBorder="1" applyAlignment="1" applyProtection="1">
      <alignment horizontal="center" vertical="center" wrapText="1"/>
      <protection locked="0"/>
    </xf>
    <xf numFmtId="0" fontId="13" fillId="4" borderId="8" xfId="1" applyFont="1" applyFill="1" applyBorder="1" applyAlignment="1" applyProtection="1">
      <alignment horizontal="center" vertical="center" wrapText="1"/>
      <protection locked="0"/>
    </xf>
    <xf numFmtId="0" fontId="13" fillId="4" borderId="49" xfId="1" applyFont="1" applyFill="1" applyBorder="1" applyAlignment="1" applyProtection="1">
      <alignment horizontal="center" vertical="center" wrapText="1"/>
      <protection locked="0"/>
    </xf>
    <xf numFmtId="0" fontId="13" fillId="4" borderId="50" xfId="1" applyFont="1" applyFill="1" applyBorder="1" applyAlignment="1" applyProtection="1">
      <alignment horizontal="center" vertical="center" wrapText="1"/>
      <protection locked="0"/>
    </xf>
    <xf numFmtId="0" fontId="13" fillId="2" borderId="0" xfId="1" applyFont="1" applyFill="1" applyAlignment="1">
      <alignment horizontal="left" vertical="center" shrinkToFit="1"/>
    </xf>
    <xf numFmtId="0" fontId="4" fillId="7" borderId="0" xfId="1" applyFont="1" applyFill="1" applyAlignment="1">
      <alignment horizontal="center" vertical="center"/>
    </xf>
    <xf numFmtId="0" fontId="26" fillId="2" borderId="0" xfId="1" applyFont="1" applyFill="1" applyAlignment="1">
      <alignment horizontal="left" vertical="center" shrinkToFit="1"/>
    </xf>
    <xf numFmtId="0" fontId="30" fillId="2" borderId="483" xfId="0" applyFont="1" applyFill="1" applyBorder="1" applyAlignment="1">
      <alignment horizontal="left" vertical="center" shrinkToFit="1"/>
    </xf>
    <xf numFmtId="0" fontId="30" fillId="2" borderId="213" xfId="0" applyFont="1" applyFill="1" applyBorder="1" applyAlignment="1">
      <alignment horizontal="left" vertical="center" shrinkToFit="1"/>
    </xf>
    <xf numFmtId="0" fontId="30" fillId="2" borderId="482" xfId="0" applyFont="1" applyFill="1" applyBorder="1" applyAlignment="1">
      <alignment horizontal="left" vertical="center" shrinkToFit="1"/>
    </xf>
    <xf numFmtId="0" fontId="30" fillId="2" borderId="535" xfId="0" applyFont="1" applyFill="1" applyBorder="1" applyAlignment="1">
      <alignment horizontal="center" vertical="center" wrapText="1"/>
    </xf>
    <xf numFmtId="0" fontId="30" fillId="2" borderId="420" xfId="0" applyFont="1" applyFill="1" applyBorder="1" applyAlignment="1">
      <alignment horizontal="center" vertical="center" wrapText="1"/>
    </xf>
    <xf numFmtId="0" fontId="30" fillId="2" borderId="347" xfId="0" applyFont="1" applyFill="1" applyBorder="1" applyAlignment="1">
      <alignment horizontal="center" vertical="center"/>
    </xf>
    <xf numFmtId="0" fontId="30" fillId="2" borderId="355" xfId="0" applyFont="1" applyFill="1" applyBorder="1" applyAlignment="1">
      <alignment horizontal="center" vertical="center"/>
    </xf>
    <xf numFmtId="0" fontId="30" fillId="2" borderId="391" xfId="0" applyFont="1" applyFill="1" applyBorder="1" applyAlignment="1">
      <alignment horizontal="center" vertical="center"/>
    </xf>
    <xf numFmtId="0" fontId="30" fillId="2" borderId="367" xfId="0" applyFont="1" applyFill="1" applyBorder="1" applyAlignment="1">
      <alignment horizontal="left" vertical="center" shrinkToFit="1"/>
    </xf>
    <xf numFmtId="0" fontId="30" fillId="2" borderId="88" xfId="0" applyFont="1" applyFill="1" applyBorder="1" applyAlignment="1">
      <alignment horizontal="left" vertical="center" shrinkToFit="1"/>
    </xf>
    <xf numFmtId="0" fontId="30" fillId="2" borderId="366" xfId="0" applyFont="1" applyFill="1" applyBorder="1" applyAlignment="1">
      <alignment horizontal="left" vertical="center" shrinkToFit="1"/>
    </xf>
    <xf numFmtId="0" fontId="52" fillId="2" borderId="402" xfId="0" applyFont="1" applyFill="1" applyBorder="1" applyAlignment="1">
      <alignment horizontal="center" vertical="center" shrinkToFit="1"/>
    </xf>
    <xf numFmtId="0" fontId="52" fillId="2" borderId="406" xfId="0" applyFont="1" applyFill="1" applyBorder="1" applyAlignment="1">
      <alignment horizontal="center" vertical="center" shrinkToFit="1"/>
    </xf>
    <xf numFmtId="0" fontId="52" fillId="2" borderId="410" xfId="0" applyFont="1" applyFill="1" applyBorder="1" applyAlignment="1">
      <alignment horizontal="center" vertical="center" shrinkToFit="1"/>
    </xf>
    <xf numFmtId="2" fontId="30" fillId="2" borderId="380" xfId="0" applyNumberFormat="1" applyFont="1" applyFill="1" applyBorder="1" applyAlignment="1">
      <alignment horizontal="center" vertical="center" shrinkToFit="1"/>
    </xf>
    <xf numFmtId="0" fontId="30" fillId="2" borderId="336" xfId="0" applyFont="1" applyFill="1" applyBorder="1" applyAlignment="1">
      <alignment horizontal="center" vertical="center" shrinkToFit="1"/>
    </xf>
    <xf numFmtId="0" fontId="30" fillId="2" borderId="15" xfId="0" applyFont="1" applyFill="1" applyBorder="1" applyAlignment="1">
      <alignment horizontal="center" vertical="center" shrinkToFit="1"/>
    </xf>
    <xf numFmtId="0" fontId="30" fillId="2" borderId="56" xfId="0" applyFont="1" applyFill="1" applyBorder="1" applyAlignment="1">
      <alignment horizontal="center" vertical="center" shrinkToFit="1"/>
    </xf>
    <xf numFmtId="0" fontId="30" fillId="2" borderId="122" xfId="0" applyFont="1" applyFill="1" applyBorder="1" applyAlignment="1">
      <alignment horizontal="center" vertical="center" shrinkToFit="1"/>
    </xf>
    <xf numFmtId="0" fontId="30" fillId="6" borderId="289" xfId="0" applyFont="1" applyFill="1" applyBorder="1" applyAlignment="1" applyProtection="1">
      <alignment horizontal="center" vertical="center" shrinkToFit="1"/>
      <protection locked="0"/>
    </xf>
    <xf numFmtId="0" fontId="30" fillId="6" borderId="116" xfId="0" applyFont="1" applyFill="1" applyBorder="1" applyAlignment="1" applyProtection="1">
      <alignment horizontal="center" vertical="center" shrinkToFit="1"/>
      <protection locked="0"/>
    </xf>
    <xf numFmtId="0" fontId="30" fillId="6" borderId="266" xfId="0" applyFont="1" applyFill="1" applyBorder="1" applyAlignment="1" applyProtection="1">
      <alignment horizontal="center" vertical="center" shrinkToFit="1"/>
      <protection locked="0"/>
    </xf>
    <xf numFmtId="0" fontId="30" fillId="6" borderId="483" xfId="0" applyFont="1" applyFill="1" applyBorder="1" applyAlignment="1" applyProtection="1">
      <alignment horizontal="center" vertical="center" shrinkToFit="1"/>
      <protection locked="0"/>
    </xf>
    <xf numFmtId="0" fontId="30" fillId="2" borderId="373" xfId="0" applyFont="1" applyFill="1" applyBorder="1" applyAlignment="1">
      <alignment horizontal="center" vertical="center" shrinkToFit="1"/>
    </xf>
    <xf numFmtId="0" fontId="30" fillId="2" borderId="374" xfId="0" applyFont="1" applyFill="1" applyBorder="1" applyAlignment="1">
      <alignment horizontal="center" vertical="center" shrinkToFit="1"/>
    </xf>
    <xf numFmtId="0" fontId="30" fillId="6" borderId="408" xfId="0" applyFont="1" applyFill="1" applyBorder="1" applyAlignment="1" applyProtection="1">
      <alignment horizontal="center" vertical="center" shrinkToFit="1"/>
      <protection locked="0"/>
    </xf>
    <xf numFmtId="0" fontId="30" fillId="6" borderId="409" xfId="0" applyFont="1" applyFill="1" applyBorder="1" applyAlignment="1" applyProtection="1">
      <alignment horizontal="center" vertical="center" shrinkToFit="1"/>
      <protection locked="0"/>
    </xf>
    <xf numFmtId="0" fontId="30" fillId="6" borderId="404" xfId="0" applyFont="1" applyFill="1" applyBorder="1" applyAlignment="1" applyProtection="1">
      <alignment horizontal="center" vertical="center" shrinkToFit="1"/>
      <protection locked="0"/>
    </xf>
    <xf numFmtId="0" fontId="30" fillId="6" borderId="367" xfId="0" applyFont="1" applyFill="1" applyBorder="1" applyAlignment="1" applyProtection="1">
      <alignment horizontal="center" vertical="center" shrinkToFit="1"/>
      <protection locked="0"/>
    </xf>
    <xf numFmtId="0" fontId="30" fillId="2" borderId="487" xfId="0" applyFont="1" applyFill="1" applyBorder="1" applyAlignment="1">
      <alignment horizontal="left" vertical="center" shrinkToFit="1"/>
    </xf>
    <xf numFmtId="0" fontId="30" fillId="2" borderId="390" xfId="0" applyFont="1" applyFill="1" applyBorder="1" applyAlignment="1">
      <alignment horizontal="left" vertical="center" shrinkToFit="1"/>
    </xf>
    <xf numFmtId="0" fontId="30" fillId="2" borderId="71" xfId="0" applyFont="1" applyFill="1" applyBorder="1" applyAlignment="1">
      <alignment horizontal="center" vertical="center" shrinkToFit="1"/>
    </xf>
    <xf numFmtId="0" fontId="30" fillId="2" borderId="114" xfId="0" applyFont="1" applyFill="1" applyBorder="1" applyAlignment="1">
      <alignment horizontal="center" vertical="center" shrinkToFit="1"/>
    </xf>
    <xf numFmtId="0" fontId="30" fillId="6" borderId="112" xfId="0" applyFont="1" applyFill="1" applyBorder="1" applyAlignment="1" applyProtection="1">
      <alignment horizontal="center" vertical="center" shrinkToFit="1"/>
      <protection locked="0"/>
    </xf>
    <xf numFmtId="0" fontId="30" fillId="6" borderId="113" xfId="0" applyFont="1" applyFill="1" applyBorder="1" applyAlignment="1" applyProtection="1">
      <alignment horizontal="center" vertical="center" shrinkToFit="1"/>
      <protection locked="0"/>
    </xf>
    <xf numFmtId="0" fontId="30" fillId="2" borderId="416" xfId="0" applyFont="1" applyFill="1" applyBorder="1" applyAlignment="1">
      <alignment horizontal="center" vertical="center" shrinkToFit="1"/>
    </xf>
    <xf numFmtId="0" fontId="30" fillId="2" borderId="417" xfId="0" applyFont="1" applyFill="1" applyBorder="1" applyAlignment="1">
      <alignment horizontal="center" vertical="center" shrinkToFit="1"/>
    </xf>
    <xf numFmtId="0" fontId="30" fillId="2" borderId="454" xfId="0" applyFont="1" applyFill="1" applyBorder="1" applyAlignment="1">
      <alignment horizontal="center" vertical="center" shrinkToFit="1"/>
    </xf>
    <xf numFmtId="0" fontId="30" fillId="2" borderId="73" xfId="0" applyFont="1" applyFill="1" applyBorder="1" applyAlignment="1">
      <alignment horizontal="center" vertical="center" shrinkToFit="1"/>
    </xf>
    <xf numFmtId="0" fontId="30" fillId="2" borderId="436" xfId="0" applyFont="1" applyFill="1" applyBorder="1" applyAlignment="1">
      <alignment horizontal="left" vertical="center" shrinkToFit="1"/>
    </xf>
    <xf numFmtId="0" fontId="30" fillId="2" borderId="216" xfId="0" applyFont="1" applyFill="1" applyBorder="1" applyAlignment="1">
      <alignment horizontal="left" vertical="center" shrinkToFit="1"/>
    </xf>
    <xf numFmtId="0" fontId="30" fillId="2" borderId="393" xfId="0" applyFont="1" applyFill="1" applyBorder="1" applyAlignment="1">
      <alignment horizontal="left" vertical="center" shrinkToFit="1"/>
    </xf>
    <xf numFmtId="0" fontId="30" fillId="2" borderId="433" xfId="0" applyFont="1" applyFill="1" applyBorder="1" applyAlignment="1">
      <alignment horizontal="left" vertical="center" shrinkToFit="1"/>
    </xf>
    <xf numFmtId="0" fontId="30" fillId="2" borderId="61" xfId="0" applyFont="1" applyFill="1" applyBorder="1" applyAlignment="1">
      <alignment horizontal="left" vertical="center" shrinkToFit="1"/>
    </xf>
    <xf numFmtId="0" fontId="30" fillId="2" borderId="432" xfId="0" applyFont="1" applyFill="1" applyBorder="1" applyAlignment="1">
      <alignment horizontal="left" vertical="center" shrinkToFit="1"/>
    </xf>
    <xf numFmtId="0" fontId="30" fillId="3" borderId="526" xfId="0" applyFont="1" applyFill="1" applyBorder="1" applyAlignment="1">
      <alignment horizontal="center" vertical="center" wrapText="1"/>
    </xf>
    <xf numFmtId="0" fontId="30" fillId="3" borderId="527" xfId="0" applyFont="1" applyFill="1" applyBorder="1" applyAlignment="1">
      <alignment horizontal="center" vertical="center" wrapText="1"/>
    </xf>
    <xf numFmtId="0" fontId="30" fillId="3" borderId="528" xfId="0" applyFont="1" applyFill="1" applyBorder="1" applyAlignment="1">
      <alignment horizontal="center" vertical="center" wrapText="1"/>
    </xf>
    <xf numFmtId="0" fontId="30" fillId="2" borderId="392" xfId="0" applyFont="1" applyFill="1" applyBorder="1" applyAlignment="1">
      <alignment horizontal="center" vertical="center" shrinkToFit="1"/>
    </xf>
    <xf numFmtId="0" fontId="30" fillId="2" borderId="215" xfId="0" applyFont="1" applyFill="1" applyBorder="1" applyAlignment="1">
      <alignment horizontal="center" vertical="center" shrinkToFit="1"/>
    </xf>
    <xf numFmtId="0" fontId="30" fillId="2" borderId="370" xfId="0" applyFont="1" applyFill="1" applyBorder="1" applyAlignment="1">
      <alignment horizontal="center" vertical="center" shrinkToFit="1"/>
    </xf>
    <xf numFmtId="0" fontId="30" fillId="2" borderId="371" xfId="0" applyFont="1" applyFill="1" applyBorder="1" applyAlignment="1">
      <alignment horizontal="center" vertical="center" shrinkToFit="1"/>
    </xf>
    <xf numFmtId="0" fontId="30" fillId="2" borderId="463" xfId="0" applyFont="1" applyFill="1" applyBorder="1" applyAlignment="1">
      <alignment horizontal="center" vertical="center" shrinkToFit="1"/>
    </xf>
    <xf numFmtId="0" fontId="30" fillId="2" borderId="212" xfId="0" applyFont="1" applyFill="1" applyBorder="1" applyAlignment="1">
      <alignment horizontal="center" vertical="center" shrinkToFit="1"/>
    </xf>
    <xf numFmtId="2" fontId="52" fillId="2" borderId="187" xfId="0" applyNumberFormat="1" applyFont="1" applyFill="1" applyBorder="1" applyAlignment="1">
      <alignment horizontal="center" vertical="center" shrinkToFit="1"/>
    </xf>
    <xf numFmtId="2" fontId="52" fillId="2" borderId="16" xfId="0" applyNumberFormat="1" applyFont="1" applyFill="1" applyBorder="1" applyAlignment="1">
      <alignment horizontal="center" vertical="center" shrinkToFit="1"/>
    </xf>
    <xf numFmtId="2" fontId="52" fillId="2" borderId="21" xfId="0" applyNumberFormat="1" applyFont="1" applyFill="1" applyBorder="1" applyAlignment="1">
      <alignment horizontal="center" vertical="center" shrinkToFit="1"/>
    </xf>
    <xf numFmtId="2" fontId="52" fillId="2" borderId="15" xfId="0" applyNumberFormat="1" applyFont="1" applyFill="1" applyBorder="1" applyAlignment="1">
      <alignment horizontal="center" vertical="center" shrinkToFit="1"/>
    </xf>
    <xf numFmtId="2" fontId="52" fillId="2" borderId="20" xfId="0" applyNumberFormat="1" applyFont="1" applyFill="1" applyBorder="1" applyAlignment="1">
      <alignment horizontal="center" vertical="center" shrinkToFit="1"/>
    </xf>
    <xf numFmtId="2" fontId="52" fillId="2" borderId="13" xfId="0" applyNumberFormat="1" applyFont="1" applyFill="1" applyBorder="1" applyAlignment="1">
      <alignment horizontal="center" vertical="center" shrinkToFit="1"/>
    </xf>
    <xf numFmtId="183" fontId="52" fillId="2" borderId="485" xfId="0" applyNumberFormat="1" applyFont="1" applyFill="1" applyBorder="1" applyAlignment="1">
      <alignment horizontal="center" vertical="center" shrinkToFit="1"/>
    </xf>
    <xf numFmtId="183" fontId="52" fillId="2" borderId="133" xfId="0" applyNumberFormat="1" applyFont="1" applyFill="1" applyBorder="1" applyAlignment="1">
      <alignment horizontal="center" vertical="center" shrinkToFit="1"/>
    </xf>
    <xf numFmtId="183" fontId="52" fillId="2" borderId="481" xfId="0" applyNumberFormat="1" applyFont="1" applyFill="1" applyBorder="1" applyAlignment="1">
      <alignment horizontal="center" vertical="center" shrinkToFit="1"/>
    </xf>
    <xf numFmtId="0" fontId="30" fillId="2" borderId="29" xfId="0" applyFont="1" applyFill="1" applyBorder="1" applyAlignment="1">
      <alignment horizontal="center" vertical="center" wrapText="1"/>
    </xf>
    <xf numFmtId="0" fontId="30" fillId="2" borderId="498" xfId="0" applyFont="1" applyFill="1" applyBorder="1" applyAlignment="1">
      <alignment horizontal="center" vertical="center" wrapText="1"/>
    </xf>
    <xf numFmtId="0" fontId="30" fillId="2" borderId="240" xfId="0" applyFont="1" applyFill="1" applyBorder="1" applyAlignment="1">
      <alignment horizontal="center" vertical="center" wrapText="1"/>
    </xf>
    <xf numFmtId="0" fontId="30" fillId="2" borderId="167" xfId="0" applyFont="1" applyFill="1" applyBorder="1" applyAlignment="1">
      <alignment horizontal="center" vertical="center" wrapText="1"/>
    </xf>
    <xf numFmtId="0" fontId="30" fillId="2" borderId="89" xfId="0" applyFont="1" applyFill="1" applyBorder="1" applyAlignment="1">
      <alignment horizontal="center" vertical="center" wrapText="1"/>
    </xf>
    <xf numFmtId="0" fontId="30" fillId="2" borderId="340" xfId="0" applyFont="1" applyFill="1" applyBorder="1" applyAlignment="1">
      <alignment horizontal="center" vertical="center" wrapText="1"/>
    </xf>
    <xf numFmtId="0" fontId="30" fillId="2" borderId="66" xfId="0" applyFont="1" applyFill="1" applyBorder="1" applyAlignment="1">
      <alignment horizontal="center" vertical="center" wrapText="1"/>
    </xf>
    <xf numFmtId="0" fontId="30" fillId="2" borderId="172" xfId="0" applyFont="1" applyFill="1" applyBorder="1" applyAlignment="1">
      <alignment horizontal="center" vertical="center" wrapText="1"/>
    </xf>
    <xf numFmtId="0" fontId="30" fillId="2" borderId="117" xfId="0" applyFont="1" applyFill="1" applyBorder="1" applyAlignment="1">
      <alignment horizontal="center" vertical="center" wrapText="1"/>
    </xf>
    <xf numFmtId="0" fontId="30" fillId="2" borderId="197" xfId="0" applyFont="1" applyFill="1" applyBorder="1" applyAlignment="1">
      <alignment horizontal="center" vertical="center" wrapText="1"/>
    </xf>
    <xf numFmtId="0" fontId="30" fillId="2" borderId="92" xfId="0" applyFont="1" applyFill="1" applyBorder="1" applyAlignment="1">
      <alignment horizontal="center" vertical="center" wrapText="1"/>
    </xf>
    <xf numFmtId="2" fontId="52" fillId="2" borderId="29" xfId="0" applyNumberFormat="1" applyFont="1" applyFill="1" applyBorder="1" applyAlignment="1">
      <alignment horizontal="center" vertical="center" shrinkToFit="1"/>
    </xf>
    <xf numFmtId="2" fontId="52" fillId="2" borderId="12" xfId="0" applyNumberFormat="1" applyFont="1" applyFill="1" applyBorder="1" applyAlignment="1">
      <alignment horizontal="center" vertical="center" shrinkToFit="1"/>
    </xf>
    <xf numFmtId="2" fontId="52" fillId="2" borderId="124" xfId="0" applyNumberFormat="1" applyFont="1" applyFill="1" applyBorder="1" applyAlignment="1">
      <alignment horizontal="center" vertical="center" shrinkToFit="1"/>
    </xf>
    <xf numFmtId="2" fontId="52" fillId="2" borderId="126" xfId="0" applyNumberFormat="1" applyFont="1" applyFill="1" applyBorder="1" applyAlignment="1">
      <alignment horizontal="center" vertical="center" shrinkToFit="1"/>
    </xf>
    <xf numFmtId="2" fontId="52" fillId="2" borderId="108" xfId="0" applyNumberFormat="1" applyFont="1" applyFill="1" applyBorder="1" applyAlignment="1">
      <alignment horizontal="center" vertical="center" shrinkToFit="1"/>
    </xf>
    <xf numFmtId="2" fontId="52" fillId="2" borderId="110" xfId="0" applyNumberFormat="1" applyFont="1" applyFill="1" applyBorder="1" applyAlignment="1">
      <alignment horizontal="center" vertical="center" shrinkToFit="1"/>
    </xf>
    <xf numFmtId="0" fontId="30" fillId="2" borderId="0" xfId="0" applyFont="1" applyFill="1" applyAlignment="1">
      <alignment horizontal="center" vertical="center" shrinkToFit="1"/>
    </xf>
    <xf numFmtId="0" fontId="30" fillId="2" borderId="380" xfId="0" applyFont="1" applyFill="1" applyBorder="1" applyAlignment="1">
      <alignment horizontal="center" vertical="center" shrinkToFit="1"/>
    </xf>
    <xf numFmtId="0" fontId="30" fillId="2" borderId="321" xfId="0" applyFont="1" applyFill="1" applyBorder="1" applyAlignment="1">
      <alignment horizontal="center" vertical="center" shrinkToFit="1"/>
    </xf>
    <xf numFmtId="0" fontId="30" fillId="2" borderId="379" xfId="0" applyFont="1" applyFill="1" applyBorder="1" applyAlignment="1">
      <alignment horizontal="center" vertical="center" wrapText="1" shrinkToFit="1"/>
    </xf>
    <xf numFmtId="0" fontId="30" fillId="2" borderId="369" xfId="0" applyFont="1" applyFill="1" applyBorder="1" applyAlignment="1">
      <alignment horizontal="center" vertical="center" wrapText="1" shrinkToFit="1"/>
    </xf>
    <xf numFmtId="0" fontId="30" fillId="2" borderId="371" xfId="0" applyFont="1" applyFill="1" applyBorder="1" applyAlignment="1">
      <alignment horizontal="center" vertical="center" wrapText="1" shrinkToFit="1"/>
    </xf>
    <xf numFmtId="0" fontId="63" fillId="2" borderId="399" xfId="0" applyFont="1" applyFill="1" applyBorder="1" applyAlignment="1">
      <alignment horizontal="center" vertical="center" wrapText="1" shrinkToFit="1"/>
    </xf>
    <xf numFmtId="0" fontId="63" fillId="2" borderId="403" xfId="0" applyFont="1" applyFill="1" applyBorder="1" applyAlignment="1">
      <alignment horizontal="center" vertical="center" wrapText="1" shrinkToFit="1"/>
    </xf>
    <xf numFmtId="0" fontId="30" fillId="2" borderId="32" xfId="0" applyFont="1" applyFill="1" applyBorder="1" applyAlignment="1">
      <alignment horizontal="center" vertical="center" wrapText="1"/>
    </xf>
    <xf numFmtId="0" fontId="30" fillId="2" borderId="87" xfId="0" applyFont="1" applyFill="1" applyBorder="1" applyAlignment="1">
      <alignment horizontal="center" vertical="center" shrinkToFit="1"/>
    </xf>
    <xf numFmtId="0" fontId="30" fillId="2" borderId="366" xfId="0" applyFont="1" applyFill="1" applyBorder="1" applyAlignment="1">
      <alignment horizontal="center" vertical="center" shrinkToFit="1"/>
    </xf>
    <xf numFmtId="0" fontId="30" fillId="6" borderId="88" xfId="0" applyFont="1" applyFill="1" applyBorder="1" applyAlignment="1" applyProtection="1">
      <alignment horizontal="center" vertical="center" shrinkToFit="1"/>
      <protection locked="0"/>
    </xf>
    <xf numFmtId="0" fontId="30" fillId="2" borderId="187" xfId="0" applyFont="1" applyFill="1" applyBorder="1" applyAlignment="1">
      <alignment horizontal="center" vertical="center"/>
    </xf>
    <xf numFmtId="0" fontId="30" fillId="2" borderId="381" xfId="0" applyFont="1" applyFill="1" applyBorder="1" applyAlignment="1">
      <alignment horizontal="center" vertical="center" shrinkToFit="1"/>
    </xf>
    <xf numFmtId="0" fontId="30" fillId="6" borderId="418" xfId="0" applyFont="1" applyFill="1" applyBorder="1" applyAlignment="1" applyProtection="1">
      <alignment horizontal="center" vertical="center" shrinkToFit="1"/>
      <protection locked="0"/>
    </xf>
    <xf numFmtId="0" fontId="30" fillId="6" borderId="419" xfId="0" applyFont="1" applyFill="1" applyBorder="1" applyAlignment="1" applyProtection="1">
      <alignment horizontal="center" vertical="center" shrinkToFit="1"/>
      <protection locked="0"/>
    </xf>
    <xf numFmtId="0" fontId="30" fillId="2" borderId="211" xfId="0" applyFont="1" applyFill="1" applyBorder="1" applyAlignment="1">
      <alignment horizontal="center" vertical="center" shrinkToFit="1"/>
    </xf>
    <xf numFmtId="0" fontId="30" fillId="2" borderId="482" xfId="0" applyFont="1" applyFill="1" applyBorder="1" applyAlignment="1">
      <alignment horizontal="center" vertical="center" shrinkToFit="1"/>
    </xf>
    <xf numFmtId="0" fontId="26" fillId="0" borderId="364" xfId="0" applyFont="1" applyBorder="1" applyAlignment="1">
      <alignment horizontal="center" vertical="center" shrinkToFit="1"/>
    </xf>
    <xf numFmtId="0" fontId="26" fillId="0" borderId="309" xfId="0" applyFont="1" applyBorder="1" applyAlignment="1">
      <alignment horizontal="center" vertical="center" shrinkToFit="1"/>
    </xf>
    <xf numFmtId="0" fontId="30" fillId="0" borderId="430" xfId="0" applyFont="1" applyBorder="1" applyAlignment="1">
      <alignment horizontal="center" vertical="center" shrinkToFit="1"/>
    </xf>
    <xf numFmtId="0" fontId="30" fillId="0" borderId="91" xfId="0" applyFont="1" applyBorder="1" applyAlignment="1">
      <alignment horizontal="center" vertical="center" shrinkToFit="1"/>
    </xf>
    <xf numFmtId="0" fontId="30" fillId="6" borderId="422" xfId="0" applyFont="1" applyFill="1" applyBorder="1" applyAlignment="1" applyProtection="1">
      <alignment horizontal="center" vertical="center" shrinkToFit="1"/>
      <protection locked="0"/>
    </xf>
    <xf numFmtId="0" fontId="30" fillId="6" borderId="0" xfId="0" applyFont="1" applyFill="1" applyAlignment="1" applyProtection="1">
      <alignment horizontal="center" vertical="center" shrinkToFit="1"/>
      <protection locked="0"/>
    </xf>
    <xf numFmtId="0" fontId="30" fillId="6" borderId="415" xfId="0" applyFont="1" applyFill="1" applyBorder="1" applyAlignment="1" applyProtection="1">
      <alignment horizontal="center" vertical="center" shrinkToFit="1"/>
      <protection locked="0"/>
    </xf>
    <xf numFmtId="0" fontId="30" fillId="6" borderId="65" xfId="0" applyFont="1" applyFill="1" applyBorder="1" applyAlignment="1" applyProtection="1">
      <alignment horizontal="center" vertical="center" shrinkToFit="1"/>
      <protection locked="0"/>
    </xf>
    <xf numFmtId="0" fontId="26" fillId="0" borderId="407" xfId="0" applyFont="1" applyBorder="1" applyAlignment="1">
      <alignment horizontal="center" vertical="center" shrinkToFit="1"/>
    </xf>
    <xf numFmtId="0" fontId="26" fillId="0" borderId="421"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488" xfId="0" applyFont="1" applyBorder="1" applyAlignment="1">
      <alignment horizontal="center" vertical="center" shrinkToFit="1"/>
    </xf>
    <xf numFmtId="0" fontId="30" fillId="2" borderId="401" xfId="0" applyFont="1" applyFill="1" applyBorder="1" applyAlignment="1">
      <alignment horizontal="center" vertical="center" shrinkToFit="1"/>
    </xf>
    <xf numFmtId="0" fontId="30" fillId="2" borderId="398" xfId="0" applyFont="1" applyFill="1" applyBorder="1" applyAlignment="1">
      <alignment horizontal="center" vertical="center" shrinkToFit="1"/>
    </xf>
    <xf numFmtId="0" fontId="52" fillId="2" borderId="481" xfId="0" applyFont="1" applyFill="1" applyBorder="1" applyAlignment="1">
      <alignment horizontal="center" vertical="center" shrinkToFit="1"/>
    </xf>
    <xf numFmtId="0" fontId="30" fillId="6" borderId="400" xfId="0" applyFont="1" applyFill="1" applyBorder="1" applyAlignment="1" applyProtection="1">
      <alignment horizontal="center" vertical="center" shrinkToFit="1"/>
      <protection locked="0"/>
    </xf>
    <xf numFmtId="0" fontId="30" fillId="6" borderId="360" xfId="0" applyFont="1" applyFill="1" applyBorder="1" applyAlignment="1" applyProtection="1">
      <alignment horizontal="center" vertical="center" shrinkToFit="1"/>
      <protection locked="0"/>
    </xf>
    <xf numFmtId="0" fontId="30" fillId="2" borderId="179" xfId="0" applyFont="1" applyFill="1" applyBorder="1" applyAlignment="1">
      <alignment horizontal="center" vertical="center" shrinkToFit="1"/>
    </xf>
    <xf numFmtId="0" fontId="30" fillId="2" borderId="484" xfId="0" applyFont="1" applyFill="1" applyBorder="1" applyAlignment="1">
      <alignment horizontal="center" vertical="center" shrinkToFit="1"/>
    </xf>
    <xf numFmtId="0" fontId="30" fillId="2" borderId="382" xfId="0" applyFont="1" applyFill="1" applyBorder="1" applyAlignment="1">
      <alignment horizontal="left" vertical="center" shrinkToFit="1"/>
    </xf>
    <xf numFmtId="0" fontId="30" fillId="2" borderId="383" xfId="0" applyFont="1" applyFill="1" applyBorder="1" applyAlignment="1">
      <alignment horizontal="left" vertical="center" shrinkToFit="1"/>
    </xf>
    <xf numFmtId="0" fontId="30" fillId="2" borderId="60" xfId="0" applyFont="1" applyFill="1" applyBorder="1" applyAlignment="1">
      <alignment horizontal="center" vertical="center" shrinkToFit="1"/>
    </xf>
    <xf numFmtId="0" fontId="30" fillId="2" borderId="432" xfId="0" applyFont="1" applyFill="1" applyBorder="1" applyAlignment="1">
      <alignment horizontal="center" vertical="center" shrinkToFit="1"/>
    </xf>
    <xf numFmtId="0" fontId="30" fillId="6" borderId="433" xfId="0" applyFont="1" applyFill="1" applyBorder="1" applyAlignment="1" applyProtection="1">
      <alignment horizontal="center" vertical="center" shrinkToFit="1"/>
      <protection locked="0"/>
    </xf>
    <xf numFmtId="0" fontId="30" fillId="6" borderId="61" xfId="0" applyFont="1" applyFill="1" applyBorder="1" applyAlignment="1" applyProtection="1">
      <alignment horizontal="center" vertical="center" shrinkToFit="1"/>
      <protection locked="0"/>
    </xf>
    <xf numFmtId="0" fontId="30" fillId="2" borderId="90" xfId="0" applyFont="1" applyFill="1" applyBorder="1" applyAlignment="1">
      <alignment horizontal="center" vertical="center" shrinkToFit="1"/>
    </xf>
    <xf numFmtId="0" fontId="30" fillId="2" borderId="429" xfId="0" applyFont="1" applyFill="1" applyBorder="1" applyAlignment="1">
      <alignment horizontal="center" vertical="center" shrinkToFit="1"/>
    </xf>
    <xf numFmtId="0" fontId="30" fillId="6" borderId="430" xfId="0" applyFont="1" applyFill="1" applyBorder="1" applyAlignment="1" applyProtection="1">
      <alignment horizontal="center" vertical="center" shrinkToFit="1"/>
      <protection locked="0"/>
    </xf>
    <xf numFmtId="0" fontId="30" fillId="6" borderId="91" xfId="0" applyFont="1" applyFill="1" applyBorder="1" applyAlignment="1" applyProtection="1">
      <alignment horizontal="center" vertical="center" shrinkToFit="1"/>
      <protection locked="0"/>
    </xf>
    <xf numFmtId="0" fontId="30" fillId="2" borderId="478" xfId="0" applyFont="1" applyFill="1" applyBorder="1" applyAlignment="1">
      <alignment horizontal="center" vertical="center" shrinkToFit="1"/>
    </xf>
    <xf numFmtId="0" fontId="30" fillId="2" borderId="486" xfId="0" applyFont="1" applyFill="1" applyBorder="1" applyAlignment="1">
      <alignment horizontal="center" vertical="center" shrinkToFit="1"/>
    </xf>
    <xf numFmtId="0" fontId="52" fillId="2" borderId="485" xfId="0" applyFont="1" applyFill="1" applyBorder="1" applyAlignment="1">
      <alignment horizontal="center" vertical="center" shrinkToFit="1"/>
    </xf>
    <xf numFmtId="0" fontId="52" fillId="3" borderId="29" xfId="0" applyFont="1" applyFill="1" applyBorder="1" applyAlignment="1">
      <alignment horizontal="center" vertical="center" wrapText="1"/>
    </xf>
    <xf numFmtId="0" fontId="52" fillId="3" borderId="35" xfId="0" applyFont="1" applyFill="1" applyBorder="1" applyAlignment="1">
      <alignment horizontal="center" vertical="center" wrapText="1"/>
    </xf>
    <xf numFmtId="0" fontId="52" fillId="3" borderId="21" xfId="0" applyFont="1" applyFill="1" applyBorder="1" applyAlignment="1">
      <alignment horizontal="center" vertical="center" wrapText="1"/>
    </xf>
    <xf numFmtId="0" fontId="52" fillId="3" borderId="0" xfId="0" applyFont="1" applyFill="1" applyAlignment="1">
      <alignment horizontal="center" vertical="center" wrapText="1"/>
    </xf>
    <xf numFmtId="0" fontId="52" fillId="3" borderId="56" xfId="0" applyFont="1" applyFill="1" applyBorder="1" applyAlignment="1">
      <alignment horizontal="center" vertical="center" wrapText="1"/>
    </xf>
    <xf numFmtId="0" fontId="52" fillId="3" borderId="38" xfId="0" applyFont="1" applyFill="1" applyBorder="1" applyAlignment="1">
      <alignment horizontal="center" vertical="center" wrapText="1"/>
    </xf>
    <xf numFmtId="0" fontId="30" fillId="3" borderId="108" xfId="0" applyFont="1" applyFill="1" applyBorder="1" applyAlignment="1">
      <alignment horizontal="center" vertical="center" shrinkToFit="1"/>
    </xf>
    <xf numFmtId="0" fontId="30" fillId="3" borderId="341" xfId="0" applyFont="1" applyFill="1" applyBorder="1" applyAlignment="1">
      <alignment horizontal="center" vertical="center" shrinkToFit="1"/>
    </xf>
    <xf numFmtId="0" fontId="30" fillId="3" borderId="56" xfId="0" applyFont="1" applyFill="1" applyBorder="1" applyAlignment="1">
      <alignment horizontal="center" vertical="center" shrinkToFit="1"/>
    </xf>
    <xf numFmtId="0" fontId="30" fillId="3" borderId="159" xfId="0" applyFont="1" applyFill="1" applyBorder="1" applyAlignment="1">
      <alignment horizontal="center" vertical="center" shrinkToFit="1"/>
    </xf>
    <xf numFmtId="0" fontId="30" fillId="3" borderId="344" xfId="0" applyFont="1" applyFill="1" applyBorder="1" applyAlignment="1">
      <alignment horizontal="center" vertical="center" shrinkToFit="1"/>
    </xf>
    <xf numFmtId="0" fontId="30" fillId="2" borderId="64" xfId="0" applyFont="1" applyFill="1" applyBorder="1" applyAlignment="1">
      <alignment horizontal="center" vertical="center" shrinkToFit="1"/>
    </xf>
    <xf numFmtId="0" fontId="30" fillId="2" borderId="385" xfId="0" applyFont="1" applyFill="1" applyBorder="1" applyAlignment="1">
      <alignment horizontal="center" vertical="center" shrinkToFit="1"/>
    </xf>
    <xf numFmtId="0" fontId="30" fillId="2" borderId="287" xfId="0" applyFont="1" applyFill="1" applyBorder="1" applyAlignment="1">
      <alignment horizontal="center" vertical="center" shrinkToFit="1"/>
    </xf>
    <xf numFmtId="0" fontId="30" fillId="2" borderId="288" xfId="0" applyFont="1" applyFill="1" applyBorder="1" applyAlignment="1">
      <alignment horizontal="center" vertical="center" shrinkToFit="1"/>
    </xf>
    <xf numFmtId="0" fontId="30" fillId="2" borderId="250" xfId="0" applyFont="1" applyFill="1" applyBorder="1" applyAlignment="1">
      <alignment horizontal="center" vertical="center" shrinkToFit="1"/>
    </xf>
    <xf numFmtId="0" fontId="30" fillId="2" borderId="345" xfId="0" applyFont="1" applyFill="1" applyBorder="1" applyAlignment="1">
      <alignment horizontal="center" vertical="center" shrinkToFit="1"/>
    </xf>
    <xf numFmtId="0" fontId="30" fillId="6" borderId="423" xfId="0" applyFont="1" applyFill="1" applyBorder="1" applyAlignment="1" applyProtection="1">
      <alignment horizontal="center" vertical="center" shrinkToFit="1"/>
      <protection locked="0"/>
    </xf>
    <xf numFmtId="0" fontId="30" fillId="6" borderId="424" xfId="0" applyFont="1" applyFill="1" applyBorder="1" applyAlignment="1" applyProtection="1">
      <alignment horizontal="center" vertical="center" shrinkToFit="1"/>
      <protection locked="0"/>
    </xf>
    <xf numFmtId="0" fontId="30" fillId="2" borderId="239" xfId="0" applyFont="1" applyFill="1" applyBorder="1" applyAlignment="1">
      <alignment horizontal="center" vertical="center" shrinkToFit="1"/>
    </xf>
    <xf numFmtId="0" fontId="30" fillId="2" borderId="426" xfId="0" applyFont="1" applyFill="1" applyBorder="1" applyAlignment="1">
      <alignment horizontal="center" vertical="center" shrinkToFit="1"/>
    </xf>
    <xf numFmtId="0" fontId="30" fillId="6" borderId="427" xfId="0" applyFont="1" applyFill="1" applyBorder="1" applyAlignment="1" applyProtection="1">
      <alignment horizontal="center" vertical="center" shrinkToFit="1"/>
      <protection locked="0"/>
    </xf>
    <xf numFmtId="0" fontId="30" fillId="6" borderId="286" xfId="0" applyFont="1" applyFill="1" applyBorder="1" applyAlignment="1" applyProtection="1">
      <alignment horizontal="center" vertical="center" shrinkToFit="1"/>
      <protection locked="0"/>
    </xf>
    <xf numFmtId="0" fontId="30" fillId="3" borderId="289" xfId="0" applyFont="1" applyFill="1" applyBorder="1" applyAlignment="1">
      <alignment horizontal="center" vertical="center" shrinkToFit="1"/>
    </xf>
    <xf numFmtId="0" fontId="30" fillId="3" borderId="116" xfId="0" applyFont="1" applyFill="1" applyBorder="1" applyAlignment="1">
      <alignment horizontal="center" vertical="center" shrinkToFit="1"/>
    </xf>
    <xf numFmtId="0" fontId="30" fillId="4" borderId="167" xfId="0" applyFont="1" applyFill="1" applyBorder="1" applyAlignment="1" applyProtection="1">
      <alignment horizontal="center" vertical="center"/>
      <protection locked="0"/>
    </xf>
    <xf numFmtId="0" fontId="30" fillId="4" borderId="89" xfId="0" applyFont="1" applyFill="1" applyBorder="1" applyAlignment="1" applyProtection="1">
      <alignment horizontal="center" vertical="center"/>
      <protection locked="0"/>
    </xf>
    <xf numFmtId="0" fontId="30" fillId="2" borderId="395" xfId="0" applyFont="1" applyFill="1" applyBorder="1" applyAlignment="1">
      <alignment horizontal="center" vertical="center"/>
    </xf>
    <xf numFmtId="0" fontId="30" fillId="2" borderId="416" xfId="0" applyFont="1" applyFill="1" applyBorder="1" applyAlignment="1">
      <alignment horizontal="center" vertical="center" wrapText="1" shrinkToFit="1"/>
    </xf>
    <xf numFmtId="0" fontId="30" fillId="2" borderId="16" xfId="0" applyFont="1" applyFill="1" applyBorder="1" applyAlignment="1">
      <alignment horizontal="center" vertical="center" wrapText="1" shrinkToFit="1"/>
    </xf>
    <xf numFmtId="0" fontId="30" fillId="2" borderId="15" xfId="0" applyFont="1" applyFill="1" applyBorder="1" applyAlignment="1">
      <alignment horizontal="center" vertical="center" wrapText="1" shrinkToFit="1"/>
    </xf>
    <xf numFmtId="0" fontId="30" fillId="2" borderId="320" xfId="0" applyFont="1" applyFill="1" applyBorder="1" applyAlignment="1">
      <alignment horizontal="center" vertical="center" wrapText="1" shrinkToFit="1"/>
    </xf>
    <xf numFmtId="214" fontId="13" fillId="2" borderId="156" xfId="1" applyNumberFormat="1" applyFont="1" applyFill="1" applyBorder="1" applyAlignment="1">
      <alignment horizontal="center" vertical="center" wrapText="1" shrinkToFit="1"/>
    </xf>
    <xf numFmtId="214" fontId="13" fillId="2" borderId="461" xfId="1" applyNumberFormat="1" applyFont="1" applyFill="1" applyBorder="1" applyAlignment="1">
      <alignment horizontal="center" vertical="center" wrapText="1" shrinkToFit="1"/>
    </xf>
    <xf numFmtId="214" fontId="13" fillId="2" borderId="323" xfId="1" applyNumberFormat="1" applyFont="1" applyFill="1" applyBorder="1" applyAlignment="1">
      <alignment horizontal="center" vertical="center" wrapText="1" shrinkToFit="1"/>
    </xf>
    <xf numFmtId="0" fontId="30" fillId="2" borderId="295" xfId="0" applyFont="1" applyFill="1" applyBorder="1" applyAlignment="1">
      <alignment horizontal="center" vertical="center" shrinkToFit="1"/>
    </xf>
    <xf numFmtId="0" fontId="30" fillId="2" borderId="325" xfId="0" applyFont="1" applyFill="1" applyBorder="1" applyAlignment="1">
      <alignment horizontal="center" vertical="center" shrinkToFit="1"/>
    </xf>
    <xf numFmtId="0" fontId="30" fillId="2" borderId="211" xfId="0" applyFont="1" applyFill="1" applyBorder="1" applyAlignment="1">
      <alignment horizontal="left" vertical="center" wrapText="1"/>
    </xf>
    <xf numFmtId="0" fontId="30" fillId="2" borderId="213" xfId="0" applyFont="1" applyFill="1" applyBorder="1" applyAlignment="1">
      <alignment horizontal="left" vertical="center" wrapText="1"/>
    </xf>
    <xf numFmtId="0" fontId="30" fillId="3" borderId="253" xfId="0" applyFont="1" applyFill="1" applyBorder="1" applyAlignment="1">
      <alignment horizontal="center" vertical="center" wrapText="1"/>
    </xf>
    <xf numFmtId="0" fontId="30" fillId="3" borderId="254" xfId="0" applyFont="1" applyFill="1" applyBorder="1" applyAlignment="1">
      <alignment horizontal="center" vertical="center" wrapText="1"/>
    </xf>
    <xf numFmtId="0" fontId="13" fillId="3" borderId="5" xfId="1" applyFont="1" applyFill="1" applyBorder="1" applyAlignment="1">
      <alignment horizontal="center" vertical="center" shrinkToFit="1"/>
    </xf>
    <xf numFmtId="0" fontId="13" fillId="3" borderId="28" xfId="1" applyFont="1" applyFill="1" applyBorder="1" applyAlignment="1">
      <alignment horizontal="center" vertical="center" shrinkToFit="1"/>
    </xf>
    <xf numFmtId="0" fontId="30" fillId="2" borderId="299" xfId="0" applyFont="1" applyFill="1" applyBorder="1" applyAlignment="1">
      <alignment horizontal="center" vertical="center" shrinkToFit="1"/>
    </xf>
    <xf numFmtId="0" fontId="30" fillId="2" borderId="330" xfId="0" applyFont="1" applyFill="1" applyBorder="1" applyAlignment="1">
      <alignment horizontal="center" vertical="center" shrinkToFit="1"/>
    </xf>
    <xf numFmtId="0" fontId="30" fillId="2" borderId="214" xfId="0" applyFont="1" applyFill="1" applyBorder="1" applyAlignment="1">
      <alignment horizontal="left" vertical="center" wrapText="1"/>
    </xf>
    <xf numFmtId="0" fontId="30" fillId="2" borderId="216" xfId="0" applyFont="1" applyFill="1" applyBorder="1" applyAlignment="1">
      <alignment horizontal="left" vertical="center" wrapText="1"/>
    </xf>
    <xf numFmtId="0" fontId="30" fillId="2" borderId="379" xfId="0" applyFont="1" applyFill="1" applyBorder="1" applyAlignment="1">
      <alignment horizontal="center" vertical="center" shrinkToFit="1"/>
    </xf>
    <xf numFmtId="0" fontId="30" fillId="2" borderId="369" xfId="0" applyFont="1" applyFill="1" applyBorder="1" applyAlignment="1">
      <alignment horizontal="center" vertical="center" shrinkToFit="1"/>
    </xf>
    <xf numFmtId="20" fontId="30" fillId="2" borderId="358" xfId="0" applyNumberFormat="1" applyFont="1" applyFill="1" applyBorder="1" applyAlignment="1">
      <alignment horizontal="left" vertical="center" wrapText="1"/>
    </xf>
    <xf numFmtId="20" fontId="30" fillId="2" borderId="361" xfId="0" applyNumberFormat="1" applyFont="1" applyFill="1" applyBorder="1" applyAlignment="1">
      <alignment horizontal="left" vertical="center" wrapText="1"/>
    </xf>
    <xf numFmtId="2" fontId="30" fillId="2" borderId="156" xfId="0" applyNumberFormat="1" applyFont="1" applyFill="1" applyBorder="1" applyAlignment="1">
      <alignment horizontal="center" vertical="center"/>
    </xf>
    <xf numFmtId="2" fontId="30" fillId="2" borderId="323" xfId="0" applyNumberFormat="1" applyFont="1" applyFill="1" applyBorder="1" applyAlignment="1">
      <alignment horizontal="center" vertical="center"/>
    </xf>
    <xf numFmtId="0" fontId="30" fillId="2" borderId="65" xfId="0" applyFont="1" applyFill="1" applyBorder="1" applyAlignment="1">
      <alignment horizontal="center" vertical="center"/>
    </xf>
    <xf numFmtId="0" fontId="30" fillId="2" borderId="155" xfId="0" applyFont="1" applyFill="1" applyBorder="1" applyAlignment="1">
      <alignment horizontal="center" vertical="center"/>
    </xf>
    <xf numFmtId="0" fontId="30" fillId="2" borderId="323" xfId="0" applyFont="1" applyFill="1" applyBorder="1" applyAlignment="1">
      <alignment horizontal="center" vertical="center"/>
    </xf>
    <xf numFmtId="0" fontId="30" fillId="2" borderId="390" xfId="0" applyFont="1" applyFill="1" applyBorder="1" applyAlignment="1">
      <alignment horizontal="center" vertical="center"/>
    </xf>
    <xf numFmtId="0" fontId="30" fillId="2" borderId="397" xfId="0" applyFont="1" applyFill="1" applyBorder="1" applyAlignment="1">
      <alignment horizontal="center" vertical="center"/>
    </xf>
    <xf numFmtId="0" fontId="30" fillId="2" borderId="399" xfId="0" applyFont="1" applyFill="1" applyBorder="1" applyAlignment="1">
      <alignment horizontal="center" vertical="center" shrinkToFit="1"/>
    </xf>
    <xf numFmtId="0" fontId="30" fillId="2" borderId="403" xfId="0" applyFont="1" applyFill="1" applyBorder="1" applyAlignment="1">
      <alignment horizontal="center" vertical="center" shrinkToFit="1"/>
    </xf>
    <xf numFmtId="0" fontId="30" fillId="2" borderId="322" xfId="0" applyFont="1" applyFill="1" applyBorder="1" applyAlignment="1">
      <alignment horizontal="center" vertical="center" shrinkToFit="1"/>
    </xf>
    <xf numFmtId="0" fontId="30" fillId="2" borderId="239" xfId="0" applyFont="1" applyFill="1" applyBorder="1" applyAlignment="1">
      <alignment horizontal="center" vertical="center"/>
    </xf>
    <xf numFmtId="0" fontId="30" fillId="2" borderId="64" xfId="0" applyFont="1" applyFill="1" applyBorder="1" applyAlignment="1">
      <alignment horizontal="center" vertical="center"/>
    </xf>
    <xf numFmtId="0" fontId="30" fillId="2" borderId="242" xfId="0" applyFont="1" applyFill="1" applyBorder="1" applyAlignment="1">
      <alignment horizontal="center" vertical="center" shrinkToFit="1"/>
    </xf>
    <xf numFmtId="0" fontId="30" fillId="2" borderId="243" xfId="0" applyFont="1" applyFill="1" applyBorder="1" applyAlignment="1">
      <alignment horizontal="center" vertical="center" shrinkToFit="1"/>
    </xf>
    <xf numFmtId="0" fontId="30" fillId="2" borderId="156" xfId="0" applyFont="1" applyFill="1" applyBorder="1" applyAlignment="1">
      <alignment horizontal="center" vertical="center" shrinkToFit="1"/>
    </xf>
    <xf numFmtId="0" fontId="30" fillId="2" borderId="157" xfId="0" applyFont="1" applyFill="1" applyBorder="1" applyAlignment="1">
      <alignment horizontal="center" vertical="center" shrinkToFit="1"/>
    </xf>
    <xf numFmtId="0" fontId="30" fillId="2" borderId="358" xfId="0" applyFont="1" applyFill="1" applyBorder="1" applyAlignment="1">
      <alignment horizontal="left" vertical="center" wrapText="1"/>
    </xf>
    <xf numFmtId="0" fontId="30" fillId="2" borderId="361" xfId="0" applyFont="1" applyFill="1" applyBorder="1" applyAlignment="1">
      <alignment horizontal="left" vertical="center" wrapText="1"/>
    </xf>
    <xf numFmtId="0" fontId="30" fillId="2" borderId="87" xfId="0" applyFont="1" applyFill="1" applyBorder="1" applyAlignment="1">
      <alignment horizontal="left" vertical="center" wrapText="1"/>
    </xf>
    <xf numFmtId="0" fontId="30" fillId="2" borderId="131" xfId="0" applyFont="1" applyFill="1" applyBorder="1" applyAlignment="1">
      <alignment horizontal="center" vertical="center" shrinkToFit="1"/>
    </xf>
    <xf numFmtId="0" fontId="30" fillId="2" borderId="483" xfId="0" applyFont="1" applyFill="1" applyBorder="1" applyAlignment="1">
      <alignment vertical="center" shrinkToFit="1"/>
    </xf>
    <xf numFmtId="0" fontId="30" fillId="2" borderId="213" xfId="0" applyFont="1" applyFill="1" applyBorder="1" applyAlignment="1">
      <alignment vertical="center" shrinkToFit="1"/>
    </xf>
    <xf numFmtId="0" fontId="30" fillId="2" borderId="482" xfId="0" applyFont="1" applyFill="1" applyBorder="1" applyAlignment="1">
      <alignment vertical="center" shrinkToFit="1"/>
    </xf>
    <xf numFmtId="0" fontId="30" fillId="2" borderId="403" xfId="0" applyFont="1" applyFill="1" applyBorder="1" applyAlignment="1">
      <alignment horizontal="center" vertical="center" wrapText="1" shrinkToFit="1"/>
    </xf>
    <xf numFmtId="0" fontId="30" fillId="2" borderId="322" xfId="0" applyFont="1" applyFill="1" applyBorder="1" applyAlignment="1">
      <alignment horizontal="center" vertical="center" wrapText="1" shrinkToFit="1"/>
    </xf>
    <xf numFmtId="0" fontId="30" fillId="2" borderId="358" xfId="0" applyFont="1" applyFill="1" applyBorder="1" applyAlignment="1">
      <alignment horizontal="center" vertical="center" shrinkToFit="1"/>
    </xf>
    <xf numFmtId="0" fontId="30" fillId="2" borderId="359" xfId="0" applyFont="1" applyFill="1" applyBorder="1" applyAlignment="1">
      <alignment horizontal="center" vertical="center" shrinkToFit="1"/>
    </xf>
    <xf numFmtId="0" fontId="30" fillId="2" borderId="396" xfId="0" applyFont="1" applyFill="1" applyBorder="1" applyAlignment="1">
      <alignment horizontal="center" vertical="center" shrinkToFit="1"/>
    </xf>
    <xf numFmtId="0" fontId="30" fillId="2" borderId="480" xfId="0" applyFont="1" applyFill="1" applyBorder="1" applyAlignment="1">
      <alignment horizontal="center" vertical="center" shrinkToFit="1"/>
    </xf>
    <xf numFmtId="0" fontId="30" fillId="2" borderId="320" xfId="0" applyFont="1" applyFill="1" applyBorder="1" applyAlignment="1">
      <alignment horizontal="center" vertical="center" shrinkToFit="1"/>
    </xf>
    <xf numFmtId="0" fontId="30" fillId="2" borderId="557" xfId="0" applyFont="1" applyFill="1" applyBorder="1" applyAlignment="1">
      <alignment horizontal="center" vertical="center" shrinkToFit="1"/>
    </xf>
    <xf numFmtId="0" fontId="30" fillId="2" borderId="558" xfId="0" applyFont="1" applyFill="1" applyBorder="1" applyAlignment="1">
      <alignment horizontal="center" vertical="center" shrinkToFit="1"/>
    </xf>
    <xf numFmtId="0" fontId="30" fillId="2" borderId="483" xfId="0" applyFont="1" applyFill="1" applyBorder="1" applyAlignment="1">
      <alignment horizontal="center" vertical="center" shrinkToFit="1"/>
    </xf>
    <xf numFmtId="0" fontId="30" fillId="6" borderId="375" xfId="0" applyFont="1" applyFill="1" applyBorder="1" applyAlignment="1" applyProtection="1">
      <alignment horizontal="center" vertical="center" shrinkToFit="1"/>
      <protection locked="0"/>
    </xf>
    <xf numFmtId="0" fontId="30" fillId="6" borderId="152" xfId="0" applyFont="1" applyFill="1" applyBorder="1" applyAlignment="1" applyProtection="1">
      <alignment horizontal="center" vertical="center" shrinkToFit="1"/>
      <protection locked="0"/>
    </xf>
    <xf numFmtId="0" fontId="30" fillId="2" borderId="422" xfId="0" applyFont="1" applyFill="1" applyBorder="1" applyAlignment="1">
      <alignment horizontal="left" vertical="center" shrinkToFit="1"/>
    </xf>
    <xf numFmtId="0" fontId="30" fillId="2" borderId="0" xfId="0" applyFont="1" applyFill="1" applyAlignment="1">
      <alignment horizontal="left" vertical="center" shrinkToFit="1"/>
    </xf>
    <xf numFmtId="0" fontId="30" fillId="0" borderId="415" xfId="0" applyFont="1" applyBorder="1" applyAlignment="1">
      <alignment horizontal="center" vertical="center" shrinkToFit="1"/>
    </xf>
    <xf numFmtId="0" fontId="30" fillId="0" borderId="65" xfId="0" applyFont="1" applyBorder="1" applyAlignment="1">
      <alignment horizontal="center" vertical="center" shrinkToFit="1"/>
    </xf>
    <xf numFmtId="0" fontId="30" fillId="2" borderId="355" xfId="0" applyFont="1" applyFill="1" applyBorder="1" applyAlignment="1">
      <alignment horizontal="center" vertical="center" wrapText="1" shrinkToFit="1"/>
    </xf>
    <xf numFmtId="0" fontId="30" fillId="2" borderId="388" xfId="0" applyFont="1" applyFill="1" applyBorder="1" applyAlignment="1">
      <alignment horizontal="center" vertical="center" wrapText="1" shrinkToFit="1"/>
    </xf>
    <xf numFmtId="0" fontId="30" fillId="2" borderId="415" xfId="0" applyFont="1" applyFill="1" applyBorder="1" applyAlignment="1">
      <alignment horizontal="center" vertical="center" shrinkToFit="1"/>
    </xf>
    <xf numFmtId="0" fontId="30" fillId="2" borderId="65" xfId="0" applyFont="1" applyFill="1" applyBorder="1" applyAlignment="1">
      <alignment horizontal="center" vertical="center" shrinkToFit="1"/>
    </xf>
    <xf numFmtId="0" fontId="52" fillId="0" borderId="49" xfId="0" applyFont="1" applyBorder="1" applyAlignment="1">
      <alignment horizontal="center" vertical="center"/>
    </xf>
    <xf numFmtId="0" fontId="52" fillId="0" borderId="132" xfId="0" applyFont="1" applyBorder="1" applyAlignment="1">
      <alignment horizontal="center" vertical="center"/>
    </xf>
    <xf numFmtId="0" fontId="52" fillId="0" borderId="11" xfId="0" applyFont="1" applyBorder="1" applyAlignment="1">
      <alignment horizontal="center" vertical="center"/>
    </xf>
    <xf numFmtId="0" fontId="52" fillId="0" borderId="30" xfId="0" applyFont="1" applyBorder="1" applyAlignment="1">
      <alignment horizontal="center" vertical="center"/>
    </xf>
    <xf numFmtId="0" fontId="52" fillId="0" borderId="99" xfId="0" applyFont="1" applyBorder="1" applyAlignment="1">
      <alignment horizontal="center" vertical="center"/>
    </xf>
    <xf numFmtId="0" fontId="52" fillId="0" borderId="44" xfId="0" applyFont="1" applyBorder="1" applyAlignment="1">
      <alignment horizontal="center" vertical="center"/>
    </xf>
    <xf numFmtId="0" fontId="52" fillId="0" borderId="58" xfId="0" applyFont="1" applyBorder="1" applyAlignment="1">
      <alignment horizontal="center" vertical="center" wrapText="1"/>
    </xf>
    <xf numFmtId="0" fontId="52" fillId="0" borderId="59"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35" xfId="0" applyFont="1" applyBorder="1" applyAlignment="1">
      <alignment horizontal="center" vertical="center"/>
    </xf>
    <xf numFmtId="0" fontId="52" fillId="3" borderId="30" xfId="0" applyFont="1" applyFill="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62" fillId="0" borderId="74" xfId="0" applyFont="1" applyBorder="1" applyAlignment="1">
      <alignment horizontal="center" vertical="center" wrapText="1"/>
    </xf>
    <xf numFmtId="0" fontId="62" fillId="0" borderId="48" xfId="0" applyFont="1" applyBorder="1" applyAlignment="1">
      <alignment horizontal="center" vertical="center" wrapText="1"/>
    </xf>
    <xf numFmtId="3" fontId="13" fillId="2" borderId="4" xfId="1" applyNumberFormat="1" applyFont="1" applyFill="1" applyBorder="1" applyAlignment="1">
      <alignment vertical="center" shrinkToFit="1"/>
    </xf>
    <xf numFmtId="0" fontId="30" fillId="2" borderId="337" xfId="0" applyFont="1" applyFill="1" applyBorder="1" applyAlignment="1">
      <alignment horizontal="center" vertical="center"/>
    </xf>
    <xf numFmtId="0" fontId="30" fillId="2" borderId="338" xfId="0" applyFont="1" applyFill="1" applyBorder="1" applyAlignment="1">
      <alignment horizontal="center" vertical="center"/>
    </xf>
    <xf numFmtId="0" fontId="52" fillId="2" borderId="336" xfId="0" applyFont="1" applyFill="1" applyBorder="1" applyAlignment="1">
      <alignment horizontal="center" vertical="center" shrinkToFit="1"/>
    </xf>
    <xf numFmtId="0" fontId="52" fillId="2" borderId="15" xfId="0" applyFont="1" applyFill="1" applyBorder="1" applyAlignment="1">
      <alignment horizontal="center" vertical="center" shrinkToFit="1"/>
    </xf>
    <xf numFmtId="0" fontId="30" fillId="3" borderId="342" xfId="0" applyFont="1" applyFill="1" applyBorder="1" applyAlignment="1">
      <alignment horizontal="center" vertical="center"/>
    </xf>
    <xf numFmtId="0" fontId="30" fillId="3" borderId="178" xfId="0" applyFont="1" applyFill="1" applyBorder="1" applyAlignment="1">
      <alignment horizontal="center" vertical="center"/>
    </xf>
    <xf numFmtId="0" fontId="52" fillId="3" borderId="34" xfId="0" applyFont="1" applyFill="1" applyBorder="1" applyAlignment="1">
      <alignment horizontal="center" vertical="center" wrapText="1"/>
    </xf>
    <xf numFmtId="0" fontId="52" fillId="3" borderId="39" xfId="0" applyFont="1" applyFill="1" applyBorder="1" applyAlignment="1">
      <alignment horizontal="center" vertical="center" wrapText="1"/>
    </xf>
    <xf numFmtId="0" fontId="30" fillId="6" borderId="350" xfId="0" applyFont="1" applyFill="1" applyBorder="1" applyAlignment="1" applyProtection="1">
      <alignment horizontal="center" vertical="center" shrinkToFit="1"/>
      <protection locked="0"/>
    </xf>
    <xf numFmtId="0" fontId="30" fillId="3" borderId="119" xfId="0" applyFont="1" applyFill="1" applyBorder="1" applyAlignment="1">
      <alignment horizontal="center" vertical="center" shrinkToFit="1"/>
    </xf>
    <xf numFmtId="0" fontId="30" fillId="3" borderId="110" xfId="0" applyFont="1" applyFill="1" applyBorder="1" applyAlignment="1">
      <alignment horizontal="center" vertical="center" shrinkToFit="1"/>
    </xf>
    <xf numFmtId="0" fontId="30" fillId="2" borderId="360" xfId="0" applyFont="1" applyFill="1" applyBorder="1" applyAlignment="1">
      <alignment horizontal="left" vertical="center" shrinkToFit="1"/>
    </xf>
    <xf numFmtId="0" fontId="30" fillId="2" borderId="361" xfId="0" applyFont="1" applyFill="1" applyBorder="1" applyAlignment="1">
      <alignment horizontal="left" vertical="center" shrinkToFit="1"/>
    </xf>
    <xf numFmtId="0" fontId="30" fillId="2" borderId="359" xfId="0" applyFont="1" applyFill="1" applyBorder="1" applyAlignment="1">
      <alignment horizontal="left" vertical="center" shrinkToFit="1"/>
    </xf>
    <xf numFmtId="0" fontId="30" fillId="2" borderId="409" xfId="0" applyFont="1" applyFill="1" applyBorder="1" applyAlignment="1">
      <alignment horizontal="left" vertical="center" shrinkToFit="1"/>
    </xf>
    <xf numFmtId="0" fontId="30" fillId="2" borderId="375" xfId="0" applyFont="1" applyFill="1" applyBorder="1" applyAlignment="1">
      <alignment horizontal="left" vertical="center" shrinkToFit="1"/>
    </xf>
    <xf numFmtId="0" fontId="30" fillId="2" borderId="374" xfId="0" applyFont="1" applyFill="1" applyBorder="1" applyAlignment="1">
      <alignment horizontal="left" vertical="center" shrinkToFit="1"/>
    </xf>
    <xf numFmtId="0" fontId="52" fillId="0" borderId="6" xfId="0" applyFont="1" applyBorder="1" applyAlignment="1">
      <alignment horizontal="center" vertical="center"/>
    </xf>
    <xf numFmtId="0" fontId="52" fillId="0" borderId="122" xfId="0" applyFont="1" applyBorder="1" applyAlignment="1">
      <alignment horizontal="center" vertical="center"/>
    </xf>
    <xf numFmtId="0" fontId="61" fillId="2" borderId="379" xfId="0" applyFont="1" applyFill="1" applyBorder="1" applyAlignment="1">
      <alignment horizontal="center" vertical="center" wrapText="1" shrinkToFit="1"/>
    </xf>
    <xf numFmtId="0" fontId="61" fillId="2" borderId="369" xfId="0" applyFont="1" applyFill="1" applyBorder="1" applyAlignment="1">
      <alignment horizontal="center" vertical="center" wrapText="1" shrinkToFit="1"/>
    </xf>
    <xf numFmtId="0" fontId="30" fillId="6" borderId="412" xfId="0" applyFont="1" applyFill="1" applyBorder="1" applyAlignment="1" applyProtection="1">
      <alignment horizontal="center" vertical="center" shrinkToFit="1"/>
      <protection locked="0"/>
    </xf>
    <xf numFmtId="0" fontId="30" fillId="6" borderId="382" xfId="0" applyFont="1" applyFill="1" applyBorder="1" applyAlignment="1" applyProtection="1">
      <alignment horizontal="center" vertical="center" shrinkToFit="1"/>
      <protection locked="0"/>
    </xf>
    <xf numFmtId="0" fontId="30" fillId="6" borderId="280" xfId="0" applyFont="1" applyFill="1" applyBorder="1" applyAlignment="1" applyProtection="1">
      <alignment horizontal="center" vertical="center" shrinkToFit="1"/>
      <protection locked="0"/>
    </xf>
    <xf numFmtId="0" fontId="30" fillId="3" borderId="52" xfId="0" applyFont="1" applyFill="1" applyBorder="1" applyAlignment="1">
      <alignment horizontal="center" vertical="center" shrinkToFit="1"/>
    </xf>
    <xf numFmtId="0" fontId="30" fillId="3" borderId="54" xfId="0" applyFont="1" applyFill="1" applyBorder="1" applyAlignment="1">
      <alignment horizontal="center" vertical="center" shrinkToFit="1"/>
    </xf>
    <xf numFmtId="0" fontId="30" fillId="3" borderId="310" xfId="0" applyFont="1" applyFill="1" applyBorder="1" applyAlignment="1">
      <alignment horizontal="center" vertical="center" wrapText="1"/>
    </xf>
    <xf numFmtId="0" fontId="30" fillId="3" borderId="314" xfId="0" applyFont="1" applyFill="1" applyBorder="1" applyAlignment="1">
      <alignment horizontal="center" vertical="center" wrapText="1"/>
    </xf>
    <xf numFmtId="0" fontId="30" fillId="3" borderId="340" xfId="0" applyFont="1" applyFill="1" applyBorder="1" applyAlignment="1">
      <alignment horizontal="center" vertical="center" wrapText="1"/>
    </xf>
    <xf numFmtId="0" fontId="30" fillId="3" borderId="66" xfId="0" applyFont="1" applyFill="1" applyBorder="1" applyAlignment="1">
      <alignment horizontal="center" vertical="center" wrapText="1"/>
    </xf>
    <xf numFmtId="0" fontId="30" fillId="3" borderId="343" xfId="0" applyFont="1" applyFill="1" applyBorder="1" applyAlignment="1">
      <alignment horizontal="center" vertical="center" wrapText="1"/>
    </xf>
    <xf numFmtId="0" fontId="30" fillId="3" borderId="122" xfId="0" applyFont="1" applyFill="1" applyBorder="1" applyAlignment="1">
      <alignment horizontal="center" vertical="center" wrapText="1"/>
    </xf>
    <xf numFmtId="0" fontId="30" fillId="2" borderId="167" xfId="0" applyFont="1" applyFill="1" applyBorder="1" applyAlignment="1">
      <alignment horizontal="center" vertical="center" shrinkToFit="1"/>
    </xf>
    <xf numFmtId="0" fontId="30" fillId="2" borderId="89" xfId="0" applyFont="1" applyFill="1" applyBorder="1" applyAlignment="1">
      <alignment horizontal="center" vertical="center" shrinkToFit="1"/>
    </xf>
    <xf numFmtId="0" fontId="30" fillId="3" borderId="3" xfId="0" applyFont="1" applyFill="1" applyBorder="1" applyAlignment="1">
      <alignment horizontal="center" vertical="center" shrinkToFit="1"/>
    </xf>
    <xf numFmtId="3" fontId="13" fillId="2" borderId="4" xfId="1" applyNumberFormat="1" applyFont="1" applyFill="1" applyBorder="1" applyAlignment="1">
      <alignment horizontal="right" vertical="center" shrinkToFit="1"/>
    </xf>
    <xf numFmtId="0" fontId="30" fillId="2" borderId="63" xfId="0" applyFont="1" applyFill="1" applyBorder="1" applyAlignment="1">
      <alignment horizontal="center" vertical="center"/>
    </xf>
    <xf numFmtId="0" fontId="30" fillId="0" borderId="63" xfId="0" applyFont="1" applyBorder="1" applyAlignment="1">
      <alignment horizontal="center" vertical="center"/>
    </xf>
    <xf numFmtId="0" fontId="30" fillId="3" borderId="339" xfId="0" applyFont="1" applyFill="1" applyBorder="1" applyAlignment="1">
      <alignment horizontal="center" vertical="center" wrapText="1"/>
    </xf>
    <xf numFmtId="0" fontId="30" fillId="3" borderId="242" xfId="0" applyFont="1" applyFill="1" applyBorder="1" applyAlignment="1">
      <alignment horizontal="center" vertical="center" wrapText="1"/>
    </xf>
    <xf numFmtId="0" fontId="30" fillId="3" borderId="243" xfId="0" applyFont="1" applyFill="1" applyBorder="1" applyAlignment="1">
      <alignment horizontal="center" vertical="center" wrapText="1"/>
    </xf>
    <xf numFmtId="0" fontId="30" fillId="3" borderId="272" xfId="0" applyFont="1" applyFill="1" applyBorder="1" applyAlignment="1">
      <alignment horizontal="center" vertical="center" shrinkToFit="1"/>
    </xf>
    <xf numFmtId="0" fontId="30" fillId="3" borderId="160" xfId="0" applyFont="1" applyFill="1" applyBorder="1" applyAlignment="1">
      <alignment horizontal="center" vertical="center" shrinkToFit="1"/>
    </xf>
    <xf numFmtId="0" fontId="30" fillId="3" borderId="161" xfId="0" applyFont="1" applyFill="1" applyBorder="1" applyAlignment="1">
      <alignment horizontal="center" vertical="center" shrinkToFit="1"/>
    </xf>
    <xf numFmtId="0" fontId="30" fillId="3" borderId="27" xfId="0" applyFont="1" applyFill="1" applyBorder="1" applyAlignment="1">
      <alignment horizontal="center" vertical="center" shrinkToFit="1"/>
    </xf>
    <xf numFmtId="0" fontId="30" fillId="3" borderId="53" xfId="0" applyFont="1" applyFill="1" applyBorder="1" applyAlignment="1">
      <alignment horizontal="center" vertical="center" shrinkToFit="1"/>
    </xf>
    <xf numFmtId="0" fontId="30" fillId="2" borderId="356" xfId="0" applyFont="1" applyFill="1" applyBorder="1" applyAlignment="1">
      <alignment horizontal="center" vertical="center" shrinkToFit="1"/>
    </xf>
    <xf numFmtId="0" fontId="30" fillId="2" borderId="357" xfId="0" applyFont="1" applyFill="1" applyBorder="1" applyAlignment="1">
      <alignment horizontal="center" vertical="center" shrinkToFit="1"/>
    </xf>
    <xf numFmtId="0" fontId="30" fillId="2" borderId="348" xfId="0" applyFont="1" applyFill="1" applyBorder="1" applyAlignment="1">
      <alignment horizontal="center" vertical="center" shrinkToFit="1"/>
    </xf>
    <xf numFmtId="0" fontId="30" fillId="2" borderId="221" xfId="0" applyFont="1" applyFill="1" applyBorder="1" applyAlignment="1">
      <alignment horizontal="center" vertical="center" shrinkToFit="1"/>
    </xf>
    <xf numFmtId="0" fontId="30" fillId="2" borderId="29" xfId="0" applyFont="1" applyFill="1" applyBorder="1" applyAlignment="1">
      <alignment horizontal="center" vertical="center" shrinkToFit="1"/>
    </xf>
    <xf numFmtId="0" fontId="30" fillId="2" borderId="349" xfId="0" applyFont="1" applyFill="1" applyBorder="1" applyAlignment="1">
      <alignment horizontal="center" vertical="center" shrinkToFit="1"/>
    </xf>
    <xf numFmtId="176" fontId="13" fillId="2" borderId="9" xfId="1" applyNumberFormat="1" applyFont="1" applyFill="1" applyBorder="1" applyAlignment="1">
      <alignment horizontal="center" vertical="center" shrinkToFit="1"/>
    </xf>
    <xf numFmtId="176" fontId="13" fillId="2" borderId="8" xfId="1" applyNumberFormat="1" applyFont="1" applyFill="1" applyBorder="1" applyAlignment="1">
      <alignment horizontal="center" vertical="center" shrinkToFit="1"/>
    </xf>
    <xf numFmtId="184" fontId="13" fillId="2" borderId="4" xfId="1" applyNumberFormat="1" applyFont="1" applyFill="1" applyBorder="1" applyAlignment="1">
      <alignment horizontal="center" vertical="center" shrinkToFit="1"/>
    </xf>
    <xf numFmtId="0" fontId="30" fillId="3" borderId="288" xfId="0" applyFont="1" applyFill="1" applyBorder="1" applyAlignment="1">
      <alignment horizontal="center" vertical="center" shrinkToFit="1"/>
    </xf>
    <xf numFmtId="0" fontId="30" fillId="0" borderId="49" xfId="0" applyFont="1" applyBorder="1" applyAlignment="1">
      <alignment horizontal="center" vertical="center" wrapText="1" shrinkToFit="1"/>
    </xf>
    <xf numFmtId="0" fontId="30" fillId="0" borderId="127" xfId="0" applyFont="1" applyBorder="1" applyAlignment="1">
      <alignment horizontal="center" vertical="center" wrapText="1" shrinkToFit="1"/>
    </xf>
    <xf numFmtId="0" fontId="30" fillId="0" borderId="77" xfId="0" applyFont="1" applyBorder="1" applyAlignment="1">
      <alignment horizontal="center" vertical="center" wrapText="1" shrinkToFit="1"/>
    </xf>
    <xf numFmtId="0" fontId="30" fillId="6" borderId="436" xfId="0" applyFont="1" applyFill="1" applyBorder="1" applyAlignment="1" applyProtection="1">
      <alignment horizontal="center" vertical="center" shrinkToFit="1"/>
      <protection locked="0"/>
    </xf>
    <xf numFmtId="0" fontId="30" fillId="6" borderId="216" xfId="0" applyFont="1" applyFill="1" applyBorder="1" applyAlignment="1" applyProtection="1">
      <alignment horizontal="center" vertical="center" shrinkToFit="1"/>
      <protection locked="0"/>
    </xf>
    <xf numFmtId="0" fontId="30" fillId="3" borderId="30" xfId="0" applyFont="1" applyFill="1" applyBorder="1" applyAlignment="1">
      <alignment horizontal="center" vertical="center" shrinkToFit="1"/>
    </xf>
    <xf numFmtId="0" fontId="52" fillId="0" borderId="67" xfId="0" applyFont="1" applyBorder="1" applyAlignment="1">
      <alignment horizontal="center" vertical="center" wrapText="1"/>
    </xf>
    <xf numFmtId="0" fontId="52" fillId="0" borderId="68" xfId="0" applyFont="1" applyBorder="1" applyAlignment="1">
      <alignment horizontal="center" vertical="center" wrapText="1"/>
    </xf>
    <xf numFmtId="0" fontId="30" fillId="0" borderId="187" xfId="0" applyFont="1" applyBorder="1" applyAlignment="1">
      <alignment horizontal="center" vertical="center" wrapText="1" shrinkToFit="1"/>
    </xf>
    <xf numFmtId="0" fontId="30" fillId="0" borderId="21" xfId="0" applyFont="1" applyBorder="1" applyAlignment="1">
      <alignment horizontal="center" vertical="center" wrapText="1" shrinkToFit="1"/>
    </xf>
    <xf numFmtId="0" fontId="30" fillId="0" borderId="33" xfId="0" applyFont="1" applyBorder="1" applyAlignment="1">
      <alignment horizontal="center" vertical="center" wrapText="1" shrinkToFit="1"/>
    </xf>
    <xf numFmtId="0" fontId="52" fillId="0" borderId="10" xfId="0" applyFont="1" applyBorder="1" applyAlignment="1">
      <alignment horizontal="center" vertical="center"/>
    </xf>
    <xf numFmtId="0" fontId="52" fillId="0" borderId="11" xfId="0" applyFont="1" applyBorder="1" applyAlignment="1">
      <alignment horizontal="center" vertical="center" wrapText="1"/>
    </xf>
    <xf numFmtId="0" fontId="52" fillId="0" borderId="35" xfId="0" applyFont="1" applyBorder="1" applyAlignment="1">
      <alignment horizontal="center" vertical="center" wrapText="1"/>
    </xf>
    <xf numFmtId="0" fontId="52" fillId="0" borderId="30" xfId="0" applyFont="1" applyBorder="1" applyAlignment="1">
      <alignment horizontal="center" vertical="center" wrapText="1"/>
    </xf>
    <xf numFmtId="0" fontId="62" fillId="0" borderId="58" xfId="0" applyFont="1" applyBorder="1" applyAlignment="1">
      <alignment horizontal="center" vertical="center" wrapText="1" shrinkToFit="1"/>
    </xf>
    <xf numFmtId="0" fontId="62" fillId="0" borderId="59" xfId="0" applyFont="1" applyBorder="1" applyAlignment="1">
      <alignment horizontal="center" vertical="center" wrapText="1" shrinkToFit="1"/>
    </xf>
    <xf numFmtId="0" fontId="62" fillId="0" borderId="36" xfId="0" applyFont="1" applyBorder="1" applyAlignment="1">
      <alignment horizontal="center" vertical="center" wrapText="1"/>
    </xf>
    <xf numFmtId="0" fontId="52" fillId="0" borderId="9" xfId="0" applyFont="1" applyBorder="1" applyAlignment="1">
      <alignment horizontal="center" vertical="center"/>
    </xf>
    <xf numFmtId="0" fontId="52" fillId="0" borderId="6" xfId="0" applyFont="1" applyBorder="1" applyAlignment="1">
      <alignment horizontal="center" vertical="center" wrapText="1" shrinkToFit="1"/>
    </xf>
    <xf numFmtId="0" fontId="52" fillId="0" borderId="80" xfId="0" applyFont="1" applyBorder="1" applyAlignment="1">
      <alignment horizontal="center" vertical="center" wrapText="1" shrinkToFit="1"/>
    </xf>
    <xf numFmtId="0" fontId="52" fillId="0" borderId="58" xfId="0" applyFont="1" applyBorder="1" applyAlignment="1">
      <alignment horizontal="center" vertical="center"/>
    </xf>
    <xf numFmtId="0" fontId="52" fillId="0" borderId="59" xfId="0" applyFont="1" applyBorder="1" applyAlignment="1">
      <alignment horizontal="center" vertical="center"/>
    </xf>
    <xf numFmtId="0" fontId="52" fillId="0" borderId="94" xfId="0" applyFont="1" applyBorder="1" applyAlignment="1">
      <alignment horizontal="center" vertical="center"/>
    </xf>
    <xf numFmtId="0" fontId="52" fillId="0" borderId="17" xfId="0" applyFont="1" applyBorder="1" applyAlignment="1">
      <alignment horizontal="center" vertical="center" shrinkToFit="1"/>
    </xf>
    <xf numFmtId="0" fontId="52" fillId="0" borderId="18" xfId="0" applyFont="1" applyBorder="1" applyAlignment="1">
      <alignment horizontal="center" vertical="center" shrinkToFit="1"/>
    </xf>
    <xf numFmtId="0" fontId="52" fillId="0" borderId="198" xfId="0" applyFont="1" applyBorder="1" applyAlignment="1">
      <alignment horizontal="center" vertical="center" shrinkToFit="1"/>
    </xf>
    <xf numFmtId="0" fontId="52" fillId="0" borderId="40" xfId="0" applyFont="1" applyBorder="1" applyAlignment="1">
      <alignment horizontal="center" vertical="center"/>
    </xf>
    <xf numFmtId="0" fontId="52" fillId="0" borderId="41" xfId="0" applyFont="1" applyBorder="1" applyAlignment="1">
      <alignment horizontal="center" vertical="center"/>
    </xf>
    <xf numFmtId="0" fontId="52" fillId="0" borderId="42" xfId="0" applyFont="1" applyBorder="1" applyAlignment="1">
      <alignment horizontal="center" vertical="center"/>
    </xf>
    <xf numFmtId="0" fontId="30" fillId="0" borderId="99" xfId="0" applyFont="1" applyBorder="1" applyAlignment="1">
      <alignment horizontal="center" vertical="center" shrinkToFit="1"/>
    </xf>
    <xf numFmtId="0" fontId="30" fillId="0" borderId="44" xfId="0" applyFont="1" applyBorder="1" applyAlignment="1">
      <alignment horizontal="center" vertical="center" shrinkToFit="1"/>
    </xf>
    <xf numFmtId="0" fontId="45" fillId="0" borderId="99" xfId="0" applyFont="1" applyBorder="1" applyAlignment="1">
      <alignment horizontal="center" vertical="center" shrinkToFit="1"/>
    </xf>
    <xf numFmtId="0" fontId="30" fillId="0" borderId="4" xfId="0" applyFont="1" applyBorder="1" applyAlignment="1">
      <alignment horizontal="center" vertical="center" shrinkToFit="1"/>
    </xf>
    <xf numFmtId="0" fontId="59" fillId="2" borderId="0" xfId="0" applyFont="1" applyFill="1" applyAlignment="1">
      <alignment horizontal="right" vertical="center"/>
    </xf>
    <xf numFmtId="0" fontId="30" fillId="3" borderId="11" xfId="0" applyFont="1" applyFill="1" applyBorder="1" applyAlignment="1">
      <alignment horizontal="center" vertical="center" shrinkToFit="1"/>
    </xf>
    <xf numFmtId="0" fontId="30" fillId="3" borderId="37" xfId="0" applyFont="1" applyFill="1" applyBorder="1" applyAlignment="1">
      <alignment horizontal="center" vertical="center" shrinkToFit="1"/>
    </xf>
    <xf numFmtId="0" fontId="30" fillId="3" borderId="29" xfId="0" applyFont="1" applyFill="1" applyBorder="1" applyAlignment="1">
      <alignment horizontal="center" vertical="center" shrinkToFit="1"/>
    </xf>
    <xf numFmtId="0" fontId="30" fillId="3" borderId="35" xfId="0" applyFont="1" applyFill="1" applyBorder="1" applyAlignment="1">
      <alignment horizontal="center" vertical="center" shrinkToFit="1"/>
    </xf>
    <xf numFmtId="176" fontId="13" fillId="2" borderId="1" xfId="1" applyNumberFormat="1" applyFont="1" applyFill="1" applyBorder="1" applyAlignment="1">
      <alignment horizontal="center" vertical="center" shrinkToFit="1"/>
    </xf>
    <xf numFmtId="3" fontId="13" fillId="2" borderId="8" xfId="1" applyNumberFormat="1" applyFont="1" applyFill="1" applyBorder="1" applyAlignment="1">
      <alignment vertical="center" shrinkToFit="1"/>
    </xf>
    <xf numFmtId="0" fontId="30" fillId="2" borderId="1" xfId="0" applyFont="1" applyFill="1" applyBorder="1" applyAlignment="1">
      <alignment horizontal="center" vertical="center"/>
    </xf>
    <xf numFmtId="0" fontId="30" fillId="2" borderId="9"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28" xfId="0" applyFont="1" applyFill="1" applyBorder="1" applyAlignment="1">
      <alignment horizontal="center" vertical="center" shrinkToFit="1"/>
    </xf>
    <xf numFmtId="0" fontId="30" fillId="2" borderId="55" xfId="0" applyFont="1" applyFill="1" applyBorder="1" applyAlignment="1">
      <alignment horizontal="center" vertical="center" shrinkToFit="1"/>
    </xf>
    <xf numFmtId="3" fontId="13" fillId="2" borderId="29" xfId="1" applyNumberFormat="1" applyFont="1" applyFill="1" applyBorder="1" applyAlignment="1">
      <alignment horizontal="right" vertical="center" shrinkToFit="1"/>
    </xf>
    <xf numFmtId="3" fontId="13" fillId="2" borderId="12" xfId="1" applyNumberFormat="1" applyFont="1" applyFill="1" applyBorder="1" applyAlignment="1">
      <alignment horizontal="right" vertical="center" shrinkToFit="1"/>
    </xf>
    <xf numFmtId="3" fontId="13" fillId="2" borderId="21" xfId="1" applyNumberFormat="1" applyFont="1" applyFill="1" applyBorder="1" applyAlignment="1">
      <alignment horizontal="right" vertical="center" shrinkToFit="1"/>
    </xf>
    <xf numFmtId="3" fontId="13" fillId="2" borderId="15" xfId="1" applyNumberFormat="1" applyFont="1" applyFill="1" applyBorder="1" applyAlignment="1">
      <alignment horizontal="right" vertical="center" shrinkToFit="1"/>
    </xf>
    <xf numFmtId="0" fontId="59" fillId="2" borderId="0" xfId="0" applyFont="1" applyFill="1" applyAlignment="1">
      <alignment horizontal="center" vertical="center"/>
    </xf>
    <xf numFmtId="0" fontId="30" fillId="2" borderId="355" xfId="0" applyFont="1" applyFill="1" applyBorder="1" applyAlignment="1">
      <alignment horizontal="center" vertical="center" shrinkToFit="1"/>
    </xf>
    <xf numFmtId="0" fontId="30" fillId="2" borderId="388" xfId="0" applyFont="1" applyFill="1" applyBorder="1" applyAlignment="1">
      <alignment horizontal="center" vertical="center" shrinkToFit="1"/>
    </xf>
    <xf numFmtId="0" fontId="46" fillId="2" borderId="360" xfId="0" applyFont="1" applyFill="1" applyBorder="1" applyAlignment="1">
      <alignment horizontal="left" vertical="center" wrapText="1" shrinkToFit="1"/>
    </xf>
    <xf numFmtId="0" fontId="46" fillId="2" borderId="361" xfId="0" applyFont="1" applyFill="1" applyBorder="1" applyAlignment="1">
      <alignment horizontal="left" vertical="center" wrapText="1" shrinkToFit="1"/>
    </xf>
    <xf numFmtId="0" fontId="46" fillId="2" borderId="359" xfId="0" applyFont="1" applyFill="1" applyBorder="1" applyAlignment="1">
      <alignment horizontal="left" vertical="center" wrapText="1" shrinkToFit="1"/>
    </xf>
    <xf numFmtId="0" fontId="30" fillId="3" borderId="529" xfId="0" applyFont="1" applyFill="1" applyBorder="1" applyAlignment="1">
      <alignment horizontal="center" vertical="center" wrapText="1"/>
    </xf>
    <xf numFmtId="0" fontId="30" fillId="3" borderId="109" xfId="0" applyFont="1" applyFill="1" applyBorder="1" applyAlignment="1">
      <alignment horizontal="center" vertical="center" wrapText="1"/>
    </xf>
    <xf numFmtId="0" fontId="30" fillId="3" borderId="110" xfId="0" applyFont="1" applyFill="1" applyBorder="1" applyAlignment="1">
      <alignment horizontal="center" vertical="center" wrapText="1"/>
    </xf>
    <xf numFmtId="0" fontId="30" fillId="3" borderId="37" xfId="0" applyFont="1" applyFill="1" applyBorder="1" applyAlignment="1">
      <alignment horizontal="center" vertical="center" wrapText="1"/>
    </xf>
    <xf numFmtId="0" fontId="30" fillId="3" borderId="38" xfId="0" applyFont="1" applyFill="1" applyBorder="1" applyAlignment="1">
      <alignment horizontal="center" vertical="center" wrapText="1"/>
    </xf>
    <xf numFmtId="0" fontId="30" fillId="2" borderId="316" xfId="0" applyFont="1" applyFill="1" applyBorder="1" applyAlignment="1">
      <alignment horizontal="center" vertical="center"/>
    </xf>
    <xf numFmtId="0" fontId="30" fillId="2" borderId="32" xfId="0" applyFont="1" applyFill="1" applyBorder="1" applyAlignment="1">
      <alignment horizontal="center" vertical="center" shrinkToFit="1"/>
    </xf>
    <xf numFmtId="0" fontId="30" fillId="2" borderId="343" xfId="0" applyFont="1" applyFill="1" applyBorder="1" applyAlignment="1">
      <alignment horizontal="center" vertical="center" shrinkToFit="1"/>
    </xf>
    <xf numFmtId="0" fontId="30" fillId="2" borderId="395" xfId="0" applyFont="1" applyFill="1" applyBorder="1" applyAlignment="1">
      <alignment horizontal="center" vertical="center" shrinkToFit="1"/>
    </xf>
    <xf numFmtId="0" fontId="30" fillId="2" borderId="391" xfId="0" applyFont="1" applyFill="1" applyBorder="1" applyAlignment="1">
      <alignment horizontal="center" vertical="center" shrinkToFit="1"/>
    </xf>
    <xf numFmtId="0" fontId="30" fillId="3" borderId="38" xfId="0" applyFont="1" applyFill="1" applyBorder="1" applyAlignment="1">
      <alignment horizontal="center" vertical="center" shrinkToFit="1"/>
    </xf>
    <xf numFmtId="0" fontId="30" fillId="3" borderId="122" xfId="0" applyFont="1" applyFill="1" applyBorder="1" applyAlignment="1">
      <alignment horizontal="center" vertical="center" shrinkToFit="1"/>
    </xf>
    <xf numFmtId="0" fontId="30" fillId="2" borderId="395" xfId="0" applyFont="1" applyFill="1" applyBorder="1" applyAlignment="1">
      <alignment horizontal="center" vertical="center" wrapText="1"/>
    </xf>
    <xf numFmtId="0" fontId="30" fillId="2" borderId="355" xfId="0" applyFont="1" applyFill="1" applyBorder="1" applyAlignment="1">
      <alignment horizontal="center" vertical="center" wrapText="1"/>
    </xf>
    <xf numFmtId="0" fontId="30" fillId="4" borderId="435" xfId="0" applyFont="1" applyFill="1" applyBorder="1" applyAlignment="1" applyProtection="1">
      <alignment horizontal="center" vertical="center"/>
      <protection locked="0"/>
    </xf>
    <xf numFmtId="0" fontId="30" fillId="4" borderId="62" xfId="0" applyFont="1" applyFill="1" applyBorder="1" applyAlignment="1" applyProtection="1">
      <alignment horizontal="center" vertical="center"/>
      <protection locked="0"/>
    </xf>
    <xf numFmtId="0" fontId="30" fillId="4" borderId="340" xfId="0" applyFont="1" applyFill="1" applyBorder="1" applyAlignment="1" applyProtection="1">
      <alignment horizontal="center" vertical="center"/>
      <protection locked="0"/>
    </xf>
    <xf numFmtId="0" fontId="30" fillId="4" borderId="66" xfId="0" applyFont="1" applyFill="1" applyBorder="1" applyAlignment="1" applyProtection="1">
      <alignment horizontal="center" vertical="center"/>
      <protection locked="0"/>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0" xfId="0" applyFont="1" applyAlignment="1">
      <alignment horizontal="center" vertical="center" wrapText="1"/>
    </xf>
    <xf numFmtId="0" fontId="13" fillId="0" borderId="56" xfId="0" applyFont="1" applyBorder="1" applyAlignment="1">
      <alignment horizontal="center" vertical="center" wrapText="1"/>
    </xf>
    <xf numFmtId="0" fontId="13" fillId="0" borderId="38" xfId="0" applyFont="1" applyBorder="1" applyAlignment="1">
      <alignment horizontal="center" vertical="center" wrapText="1"/>
    </xf>
    <xf numFmtId="2" fontId="52" fillId="2" borderId="214" xfId="0" applyNumberFormat="1" applyFont="1" applyFill="1" applyBorder="1" applyAlignment="1">
      <alignment horizontal="center" vertical="center" shrinkToFit="1"/>
    </xf>
    <xf numFmtId="2" fontId="52" fillId="2" borderId="215" xfId="0" applyNumberFormat="1" applyFont="1" applyFill="1" applyBorder="1" applyAlignment="1">
      <alignment horizontal="center" vertical="center" shrinkToFit="1"/>
    </xf>
    <xf numFmtId="0" fontId="37" fillId="0" borderId="52"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54" xfId="0" applyFont="1" applyBorder="1" applyAlignment="1">
      <alignment horizontal="center" vertical="center" wrapText="1"/>
    </xf>
    <xf numFmtId="0" fontId="37" fillId="0" borderId="76" xfId="0" applyFont="1" applyBorder="1" applyAlignment="1">
      <alignment horizontal="center" vertical="center" wrapText="1"/>
    </xf>
    <xf numFmtId="0" fontId="37" fillId="0" borderId="127" xfId="0" applyFont="1" applyBorder="1" applyAlignment="1">
      <alignment horizontal="center" vertical="center" wrapText="1"/>
    </xf>
    <xf numFmtId="0" fontId="37" fillId="0" borderId="132" xfId="0" applyFont="1" applyBorder="1" applyAlignment="1">
      <alignment horizontal="center" vertical="center" wrapText="1"/>
    </xf>
    <xf numFmtId="0" fontId="42" fillId="0" borderId="58" xfId="0" applyFont="1" applyBorder="1" applyAlignment="1">
      <alignment horizontal="center" vertical="center" wrapText="1"/>
    </xf>
    <xf numFmtId="0" fontId="42" fillId="0" borderId="59" xfId="0" applyFont="1" applyBorder="1" applyAlignment="1">
      <alignment horizontal="center" vertical="center" wrapText="1"/>
    </xf>
    <xf numFmtId="0" fontId="42" fillId="0" borderId="2" xfId="0" applyFont="1" applyBorder="1" applyAlignment="1">
      <alignment horizontal="center" vertical="center" wrapText="1"/>
    </xf>
    <xf numFmtId="0" fontId="30" fillId="3" borderId="52" xfId="0" applyFont="1" applyFill="1" applyBorder="1" applyAlignment="1">
      <alignment horizontal="center" vertical="center"/>
    </xf>
    <xf numFmtId="0" fontId="30" fillId="3" borderId="51" xfId="0" applyFont="1" applyFill="1" applyBorder="1" applyAlignment="1">
      <alignment horizontal="center" vertical="center"/>
    </xf>
    <xf numFmtId="0" fontId="30" fillId="3" borderId="54" xfId="0" applyFont="1" applyFill="1" applyBorder="1" applyAlignment="1">
      <alignment horizontal="center" vertical="center"/>
    </xf>
    <xf numFmtId="0" fontId="30" fillId="3" borderId="259" xfId="0" applyFont="1" applyFill="1" applyBorder="1" applyAlignment="1">
      <alignment horizontal="center" vertical="center" wrapText="1"/>
    </xf>
    <xf numFmtId="0" fontId="30" fillId="3" borderId="355" xfId="0" applyFont="1" applyFill="1" applyBorder="1" applyAlignment="1">
      <alignment horizontal="center" vertical="center" wrapText="1"/>
    </xf>
    <xf numFmtId="0" fontId="30" fillId="3" borderId="316" xfId="0" applyFont="1" applyFill="1" applyBorder="1" applyAlignment="1">
      <alignment horizontal="center" vertical="center" wrapText="1"/>
    </xf>
    <xf numFmtId="0" fontId="30" fillId="3" borderId="437" xfId="0" applyFont="1" applyFill="1" applyBorder="1" applyAlignment="1">
      <alignment horizontal="center" vertical="center" wrapText="1"/>
    </xf>
    <xf numFmtId="0" fontId="30" fillId="3" borderId="439" xfId="0" applyFont="1" applyFill="1" applyBorder="1" applyAlignment="1">
      <alignment horizontal="center" vertical="center" wrapText="1"/>
    </xf>
    <xf numFmtId="0" fontId="30" fillId="4" borderId="392" xfId="0" applyFont="1" applyFill="1" applyBorder="1" applyAlignment="1" applyProtection="1">
      <alignment horizontal="center" vertical="center"/>
      <protection locked="0"/>
    </xf>
    <xf numFmtId="0" fontId="30" fillId="4" borderId="215" xfId="0" applyFont="1" applyFill="1" applyBorder="1" applyAlignment="1" applyProtection="1">
      <alignment horizontal="center" vertical="center"/>
      <protection locked="0"/>
    </xf>
    <xf numFmtId="0" fontId="30" fillId="2" borderId="214" xfId="0" applyFont="1" applyFill="1" applyBorder="1" applyAlignment="1">
      <alignment horizontal="center" vertical="center" shrinkToFit="1"/>
    </xf>
    <xf numFmtId="0" fontId="30" fillId="2" borderId="393" xfId="0" applyFont="1" applyFill="1" applyBorder="1" applyAlignment="1">
      <alignment horizontal="center" vertical="center" shrinkToFit="1"/>
    </xf>
    <xf numFmtId="0" fontId="30" fillId="2" borderId="436" xfId="0" applyFont="1" applyFill="1" applyBorder="1" applyAlignment="1">
      <alignment horizontal="center" vertical="center" shrinkToFit="1"/>
    </xf>
    <xf numFmtId="0" fontId="30" fillId="2" borderId="216" xfId="0" applyFont="1" applyFill="1" applyBorder="1" applyAlignment="1">
      <alignment horizontal="center" vertical="center" shrinkToFit="1"/>
    </xf>
    <xf numFmtId="0" fontId="30" fillId="3" borderId="29" xfId="0" applyFont="1" applyFill="1" applyBorder="1" applyAlignment="1">
      <alignment horizontal="center" vertical="center"/>
    </xf>
    <xf numFmtId="0" fontId="30" fillId="3" borderId="35" xfId="0" applyFont="1" applyFill="1" applyBorder="1" applyAlignment="1">
      <alignment horizontal="center" vertical="center"/>
    </xf>
    <xf numFmtId="0" fontId="30" fillId="3" borderId="167" xfId="0" applyFont="1" applyFill="1" applyBorder="1" applyAlignment="1">
      <alignment horizontal="center" vertical="center"/>
    </xf>
    <xf numFmtId="0" fontId="30" fillId="3" borderId="88" xfId="0" applyFont="1" applyFill="1" applyBorder="1" applyAlignment="1">
      <alignment horizontal="center" vertical="center"/>
    </xf>
    <xf numFmtId="0" fontId="30" fillId="3" borderId="153" xfId="0" applyFont="1" applyFill="1" applyBorder="1" applyAlignment="1">
      <alignment horizontal="center" vertical="center" shrinkToFit="1"/>
    </xf>
    <xf numFmtId="0" fontId="30" fillId="3" borderId="153" xfId="0" applyFont="1" applyFill="1" applyBorder="1" applyAlignment="1">
      <alignment horizontal="center" vertical="center"/>
    </xf>
    <xf numFmtId="0" fontId="30" fillId="3" borderId="253" xfId="0" applyFont="1" applyFill="1" applyBorder="1" applyAlignment="1">
      <alignment horizontal="center" vertical="center" shrinkToFit="1"/>
    </xf>
    <xf numFmtId="0" fontId="38" fillId="0" borderId="11" xfId="0" applyFont="1" applyBorder="1" applyAlignment="1">
      <alignment horizontal="center" vertical="center" wrapText="1"/>
    </xf>
    <xf numFmtId="0" fontId="38" fillId="0" borderId="30"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39" xfId="0" applyFont="1" applyBorder="1" applyAlignment="1">
      <alignment horizontal="center" vertical="center" wrapText="1"/>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74" xfId="0" applyFont="1" applyBorder="1" applyAlignment="1">
      <alignment horizontal="center" vertical="center"/>
    </xf>
    <xf numFmtId="0" fontId="17" fillId="0" borderId="67" xfId="0" applyFont="1" applyBorder="1" applyAlignment="1">
      <alignment horizontal="center" vertical="center"/>
    </xf>
    <xf numFmtId="0" fontId="64" fillId="0" borderId="199" xfId="0" applyFont="1" applyBorder="1" applyAlignment="1">
      <alignment horizontal="center" vertical="center" wrapText="1" shrinkToFit="1"/>
    </xf>
    <xf numFmtId="0" fontId="64" fillId="0" borderId="273" xfId="0" applyFont="1" applyBorder="1" applyAlignment="1">
      <alignment horizontal="center" vertical="center" wrapText="1" shrinkToFit="1"/>
    </xf>
    <xf numFmtId="0" fontId="64" fillId="0" borderId="449" xfId="0" applyFont="1" applyBorder="1" applyAlignment="1">
      <alignment horizontal="center" vertical="center" wrapText="1" shrinkToFit="1"/>
    </xf>
    <xf numFmtId="0" fontId="17" fillId="0" borderId="445" xfId="0" applyFont="1" applyBorder="1" applyAlignment="1">
      <alignment horizontal="center" vertical="center" wrapText="1"/>
    </xf>
    <xf numFmtId="0" fontId="17" fillId="0" borderId="448" xfId="0" applyFont="1" applyBorder="1" applyAlignment="1">
      <alignment horizontal="center" vertical="center" wrapText="1"/>
    </xf>
    <xf numFmtId="0" fontId="17" fillId="0" borderId="450" xfId="0" applyFont="1" applyBorder="1" applyAlignment="1">
      <alignment horizontal="center" vertical="center" wrapText="1"/>
    </xf>
    <xf numFmtId="0" fontId="17" fillId="0" borderId="3" xfId="0" applyFont="1" applyBorder="1" applyAlignment="1">
      <alignment horizontal="center" vertical="center"/>
    </xf>
    <xf numFmtId="0" fontId="17" fillId="0" borderId="4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7" xfId="0" applyFont="1" applyBorder="1" applyAlignment="1">
      <alignment horizontal="center" vertical="center" wrapText="1"/>
    </xf>
    <xf numFmtId="0" fontId="64" fillId="0" borderId="74" xfId="0" applyFont="1" applyBorder="1" applyAlignment="1">
      <alignment horizontal="center" vertical="center" wrapText="1" shrinkToFit="1"/>
    </xf>
    <xf numFmtId="0" fontId="64" fillId="0" borderId="48" xfId="0" applyFont="1" applyBorder="1" applyAlignment="1">
      <alignment horizontal="center" vertical="center" wrapText="1" shrinkToFi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4"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16" xfId="0" applyFont="1" applyBorder="1" applyAlignment="1">
      <alignment horizontal="center" vertical="center"/>
    </xf>
    <xf numFmtId="0" fontId="17" fillId="0" borderId="49" xfId="0" applyFont="1" applyBorder="1" applyAlignment="1">
      <alignment horizontal="center" vertical="center"/>
    </xf>
    <xf numFmtId="0" fontId="52" fillId="0" borderId="312" xfId="0" applyFont="1" applyBorder="1" applyAlignment="1">
      <alignment horizontal="center" vertical="center" wrapText="1"/>
    </xf>
    <xf numFmtId="0" fontId="52" fillId="0" borderId="319" xfId="0" applyFont="1" applyBorder="1" applyAlignment="1">
      <alignment horizontal="center" vertical="center" wrapText="1"/>
    </xf>
    <xf numFmtId="0" fontId="17" fillId="0" borderId="5" xfId="0" applyFont="1" applyBorder="1" applyAlignment="1">
      <alignment horizontal="center" vertical="center" shrinkToFit="1"/>
    </xf>
    <xf numFmtId="0" fontId="17" fillId="0" borderId="28" xfId="0" applyFont="1" applyBorder="1" applyAlignment="1">
      <alignment horizontal="center" vertical="center" shrinkToFit="1"/>
    </xf>
    <xf numFmtId="0" fontId="17" fillId="0" borderId="58" xfId="0" applyFont="1" applyBorder="1" applyAlignment="1">
      <alignment horizontal="center" vertical="center" wrapText="1" shrinkToFit="1"/>
    </xf>
    <xf numFmtId="0" fontId="17" fillId="0" borderId="59" xfId="0" applyFont="1" applyBorder="1" applyAlignment="1">
      <alignment horizontal="center" vertical="center" wrapText="1" shrinkToFit="1"/>
    </xf>
    <xf numFmtId="0" fontId="17" fillId="0" borderId="2" xfId="0" applyFont="1" applyBorder="1" applyAlignment="1">
      <alignment horizontal="center" vertical="center" wrapText="1" shrinkToFit="1"/>
    </xf>
    <xf numFmtId="0" fontId="13" fillId="0" borderId="4" xfId="0" applyFont="1" applyBorder="1" applyAlignment="1">
      <alignment horizontal="center" vertical="center" shrinkToFit="1"/>
    </xf>
    <xf numFmtId="0" fontId="13" fillId="0" borderId="67" xfId="0" applyFont="1" applyBorder="1" applyAlignment="1">
      <alignment horizontal="center" vertical="center" shrinkToFit="1"/>
    </xf>
    <xf numFmtId="0" fontId="13" fillId="0" borderId="26" xfId="0" applyFont="1" applyBorder="1" applyAlignment="1">
      <alignment horizontal="center" vertical="center" shrinkToFit="1"/>
    </xf>
    <xf numFmtId="0" fontId="13" fillId="0" borderId="451" xfId="0" applyFont="1" applyBorder="1" applyAlignment="1">
      <alignment horizontal="center" vertical="center" wrapText="1"/>
    </xf>
    <xf numFmtId="0" fontId="13" fillId="0" borderId="455" xfId="0" applyFont="1" applyBorder="1" applyAlignment="1">
      <alignment horizontal="center" vertical="center" wrapText="1"/>
    </xf>
    <xf numFmtId="0" fontId="13" fillId="0" borderId="456" xfId="0" applyFont="1" applyBorder="1" applyAlignment="1">
      <alignment horizontal="center" vertical="center" wrapText="1"/>
    </xf>
    <xf numFmtId="0" fontId="13" fillId="3" borderId="3" xfId="1" applyFont="1" applyFill="1" applyBorder="1" applyAlignment="1">
      <alignment horizontal="center" vertical="center" wrapText="1" shrinkToFit="1"/>
    </xf>
    <xf numFmtId="0" fontId="13" fillId="3" borderId="1" xfId="1" applyFont="1" applyFill="1" applyBorder="1" applyAlignment="1">
      <alignment horizontal="center" vertical="center" wrapText="1" shrinkToFit="1"/>
    </xf>
    <xf numFmtId="0" fontId="13" fillId="3" borderId="80" xfId="1" applyFont="1" applyFill="1" applyBorder="1" applyAlignment="1">
      <alignment horizontal="center" vertical="center" wrapText="1" shrinkToFit="1"/>
    </xf>
    <xf numFmtId="0" fontId="13" fillId="3" borderId="76" xfId="1" applyFont="1" applyFill="1" applyBorder="1" applyAlignment="1">
      <alignment horizontal="center" vertical="center" wrapText="1" shrinkToFit="1"/>
    </xf>
    <xf numFmtId="0" fontId="13" fillId="3" borderId="132" xfId="1" applyFont="1" applyFill="1" applyBorder="1" applyAlignment="1">
      <alignment horizontal="center" vertical="center" wrapText="1" shrinkToFit="1"/>
    </xf>
    <xf numFmtId="212" fontId="17" fillId="2" borderId="6" xfId="1" applyNumberFormat="1" applyFont="1" applyFill="1" applyBorder="1" applyAlignment="1">
      <alignment horizontal="right" vertical="center" shrinkToFit="1"/>
    </xf>
    <xf numFmtId="212" fontId="17" fillId="2" borderId="9" xfId="1" applyNumberFormat="1" applyFont="1" applyFill="1" applyBorder="1" applyAlignment="1">
      <alignment horizontal="right" vertical="center" shrinkToFit="1"/>
    </xf>
    <xf numFmtId="212" fontId="17" fillId="2" borderId="8" xfId="1" applyNumberFormat="1" applyFont="1" applyFill="1" applyBorder="1" applyAlignment="1">
      <alignment horizontal="right" vertical="center" shrinkToFit="1"/>
    </xf>
    <xf numFmtId="212" fontId="13" fillId="2" borderId="9" xfId="1" applyNumberFormat="1" applyFont="1" applyFill="1" applyBorder="1" applyAlignment="1">
      <alignment vertical="center" shrinkToFit="1"/>
    </xf>
    <xf numFmtId="212" fontId="13" fillId="2" borderId="8" xfId="1" applyNumberFormat="1" applyFont="1" applyFill="1" applyBorder="1" applyAlignment="1">
      <alignment vertical="center" shrinkToFit="1"/>
    </xf>
    <xf numFmtId="209" fontId="13" fillId="2" borderId="258" xfId="1" applyNumberFormat="1" applyFont="1" applyFill="1" applyBorder="1" applyAlignment="1">
      <alignment horizontal="center" vertical="center" wrapText="1" shrinkToFit="1"/>
    </xf>
    <xf numFmtId="209" fontId="13" fillId="2" borderId="9" xfId="1" applyNumberFormat="1" applyFont="1" applyFill="1" applyBorder="1" applyAlignment="1">
      <alignment horizontal="center" vertical="center" wrapText="1" shrinkToFit="1"/>
    </xf>
    <xf numFmtId="212" fontId="13" fillId="2" borderId="6" xfId="1" applyNumberFormat="1" applyFont="1" applyFill="1" applyBorder="1" applyAlignment="1">
      <alignment horizontal="right" vertical="center" shrinkToFit="1"/>
    </xf>
    <xf numFmtId="212" fontId="13" fillId="2" borderId="9" xfId="1" applyNumberFormat="1" applyFont="1" applyFill="1" applyBorder="1" applyAlignment="1">
      <alignment horizontal="right" vertical="center" shrinkToFit="1"/>
    </xf>
    <xf numFmtId="212" fontId="13" fillId="2" borderId="8" xfId="1" applyNumberFormat="1" applyFont="1" applyFill="1" applyBorder="1" applyAlignment="1">
      <alignment horizontal="right" vertical="center" shrinkToFit="1"/>
    </xf>
    <xf numFmtId="2" fontId="13" fillId="2" borderId="155" xfId="1" applyNumberFormat="1" applyFont="1" applyFill="1" applyBorder="1" applyAlignment="1">
      <alignment horizontal="right" vertical="center" shrinkToFit="1"/>
    </xf>
    <xf numFmtId="2" fontId="13" fillId="2" borderId="397" xfId="1" applyNumberFormat="1" applyFont="1" applyFill="1" applyBorder="1" applyAlignment="1">
      <alignment horizontal="right" vertical="center" shrinkToFit="1"/>
    </xf>
    <xf numFmtId="217" fontId="13" fillId="2" borderId="460" xfId="1" applyNumberFormat="1" applyFont="1" applyFill="1" applyBorder="1" applyAlignment="1">
      <alignment horizontal="right" vertical="center" shrinkToFit="1"/>
    </xf>
    <xf numFmtId="217" fontId="13" fillId="2" borderId="403" xfId="1" applyNumberFormat="1" applyFont="1" applyFill="1" applyBorder="1" applyAlignment="1">
      <alignment horizontal="right" vertical="center" shrinkToFit="1"/>
    </xf>
    <xf numFmtId="217" fontId="13" fillId="2" borderId="322" xfId="1" applyNumberFormat="1" applyFont="1" applyFill="1" applyBorder="1" applyAlignment="1">
      <alignment horizontal="right" vertical="center" shrinkToFit="1"/>
    </xf>
    <xf numFmtId="0" fontId="30" fillId="2" borderId="21" xfId="0" applyFont="1" applyFill="1" applyBorder="1" applyAlignment="1">
      <alignment horizontal="left" vertical="center" wrapText="1"/>
    </xf>
    <xf numFmtId="0" fontId="30" fillId="2" borderId="20" xfId="0" applyFont="1" applyFill="1" applyBorder="1" applyAlignment="1">
      <alignment horizontal="left" vertical="center" wrapText="1"/>
    </xf>
    <xf numFmtId="0" fontId="30" fillId="2" borderId="10" xfId="0" applyFont="1" applyFill="1" applyBorder="1" applyAlignment="1">
      <alignment horizontal="left" vertical="center" wrapText="1"/>
    </xf>
    <xf numFmtId="217" fontId="30" fillId="2" borderId="369" xfId="0" applyNumberFormat="1" applyFont="1" applyFill="1" applyBorder="1" applyAlignment="1">
      <alignment horizontal="right" vertical="center" shrinkToFit="1"/>
    </xf>
    <xf numFmtId="217" fontId="30" fillId="2" borderId="414" xfId="0" applyNumberFormat="1" applyFont="1" applyFill="1" applyBorder="1" applyAlignment="1">
      <alignment horizontal="right" vertical="center" shrinkToFit="1"/>
    </xf>
    <xf numFmtId="212" fontId="30" fillId="2" borderId="9" xfId="0" applyNumberFormat="1" applyFont="1" applyFill="1" applyBorder="1" applyAlignment="1">
      <alignment horizontal="right" vertical="center" shrinkToFit="1"/>
    </xf>
    <xf numFmtId="212" fontId="30" fillId="2" borderId="8" xfId="0" applyNumberFormat="1" applyFont="1" applyFill="1" applyBorder="1" applyAlignment="1">
      <alignment horizontal="right" vertical="center" shrinkToFit="1"/>
    </xf>
    <xf numFmtId="217" fontId="30" fillId="2" borderId="399" xfId="4" applyNumberFormat="1" applyFont="1" applyFill="1" applyBorder="1" applyAlignment="1" applyProtection="1">
      <alignment horizontal="right" vertical="center" shrinkToFit="1"/>
    </xf>
    <xf numFmtId="217" fontId="30" fillId="2" borderId="403" xfId="4" applyNumberFormat="1" applyFont="1" applyFill="1" applyBorder="1" applyAlignment="1" applyProtection="1">
      <alignment horizontal="right" vertical="center" shrinkToFit="1"/>
    </xf>
    <xf numFmtId="217" fontId="30" fillId="2" borderId="322" xfId="4" applyNumberFormat="1" applyFont="1" applyFill="1" applyBorder="1" applyAlignment="1" applyProtection="1">
      <alignment horizontal="right" vertical="center" shrinkToFit="1"/>
    </xf>
    <xf numFmtId="0" fontId="46" fillId="2" borderId="21" xfId="0" applyFont="1" applyFill="1" applyBorder="1" applyAlignment="1">
      <alignment horizontal="center" vertical="center" wrapText="1"/>
    </xf>
    <xf numFmtId="0" fontId="46" fillId="2" borderId="193" xfId="0" applyFont="1" applyFill="1" applyBorder="1" applyAlignment="1">
      <alignment horizontal="center" vertical="center" wrapText="1"/>
    </xf>
    <xf numFmtId="0" fontId="46" fillId="2" borderId="321" xfId="0" applyFont="1" applyFill="1" applyBorder="1" applyAlignment="1">
      <alignment horizontal="center" vertical="center" wrapText="1"/>
    </xf>
    <xf numFmtId="0" fontId="46" fillId="2" borderId="397" xfId="0" applyFont="1" applyFill="1" applyBorder="1" applyAlignment="1">
      <alignment horizontal="center" vertical="center" wrapText="1"/>
    </xf>
    <xf numFmtId="0" fontId="30" fillId="2" borderId="465" xfId="0" applyFont="1" applyFill="1" applyBorder="1" applyAlignment="1">
      <alignment horizontal="center" vertical="center" shrinkToFit="1"/>
    </xf>
    <xf numFmtId="0" fontId="30" fillId="2" borderId="101" xfId="0" applyFont="1" applyFill="1" applyBorder="1" applyAlignment="1">
      <alignment horizontal="center" vertical="center" shrinkToFit="1"/>
    </xf>
    <xf numFmtId="0" fontId="30" fillId="2" borderId="17" xfId="0" applyFont="1" applyFill="1" applyBorder="1" applyAlignment="1">
      <alignment horizontal="left" vertical="center"/>
    </xf>
    <xf numFmtId="212" fontId="30" fillId="2" borderId="6" xfId="4" applyNumberFormat="1" applyFont="1" applyFill="1" applyBorder="1" applyAlignment="1" applyProtection="1">
      <alignment horizontal="right" vertical="center" shrinkToFit="1"/>
    </xf>
    <xf numFmtId="212" fontId="30" fillId="2" borderId="8" xfId="4" applyNumberFormat="1" applyFont="1" applyFill="1" applyBorder="1" applyAlignment="1" applyProtection="1">
      <alignment horizontal="right" vertical="center" shrinkToFit="1"/>
    </xf>
    <xf numFmtId="212" fontId="52" fillId="2" borderId="6" xfId="4" applyNumberFormat="1" applyFont="1" applyFill="1" applyBorder="1" applyAlignment="1" applyProtection="1">
      <alignment horizontal="right" vertical="center" shrinkToFit="1"/>
    </xf>
    <xf numFmtId="212" fontId="52" fillId="2" borderId="8" xfId="4" applyNumberFormat="1" applyFont="1" applyFill="1" applyBorder="1" applyAlignment="1" applyProtection="1">
      <alignment horizontal="right" vertical="center" shrinkToFit="1"/>
    </xf>
    <xf numFmtId="0" fontId="30" fillId="2" borderId="4" xfId="0" applyFont="1" applyFill="1" applyBorder="1" applyAlignment="1">
      <alignment horizontal="left" vertical="center" shrinkToFit="1"/>
    </xf>
    <xf numFmtId="0" fontId="30" fillId="2" borderId="17" xfId="0" applyFont="1" applyFill="1" applyBorder="1" applyAlignment="1">
      <alignment horizontal="left" vertical="center" shrinkToFit="1"/>
    </xf>
    <xf numFmtId="0" fontId="30" fillId="2" borderId="459" xfId="0" applyFont="1" applyFill="1" applyBorder="1" applyAlignment="1">
      <alignment horizontal="center" vertical="center" shrinkToFit="1"/>
    </xf>
    <xf numFmtId="0" fontId="30" fillId="2" borderId="460" xfId="0" applyFont="1" applyFill="1" applyBorder="1" applyAlignment="1">
      <alignment horizontal="center" vertical="center" shrinkToFit="1"/>
    </xf>
    <xf numFmtId="0" fontId="30" fillId="2" borderId="202" xfId="0" applyFont="1" applyFill="1" applyBorder="1" applyAlignment="1">
      <alignment horizontal="left" vertical="center"/>
    </xf>
    <xf numFmtId="0" fontId="30" fillId="2" borderId="211" xfId="0" applyFont="1" applyFill="1" applyBorder="1" applyAlignment="1">
      <alignment horizontal="left" vertical="center"/>
    </xf>
    <xf numFmtId="0" fontId="30" fillId="2" borderId="492" xfId="0" applyFont="1" applyFill="1" applyBorder="1" applyAlignment="1">
      <alignment horizontal="center" vertical="center" shrinkToFit="1"/>
    </xf>
    <xf numFmtId="0" fontId="30" fillId="2" borderId="493" xfId="0" applyFont="1" applyFill="1" applyBorder="1" applyAlignment="1">
      <alignment horizontal="center" vertical="center" shrinkToFit="1"/>
    </xf>
    <xf numFmtId="0" fontId="30" fillId="2" borderId="8" xfId="0" applyFont="1" applyFill="1" applyBorder="1" applyAlignment="1">
      <alignment horizontal="left" vertical="center"/>
    </xf>
    <xf numFmtId="0" fontId="30" fillId="2" borderId="490" xfId="0" applyFont="1" applyFill="1" applyBorder="1" applyAlignment="1">
      <alignment horizontal="center" vertical="center" shrinkToFit="1"/>
    </xf>
    <xf numFmtId="0" fontId="30" fillId="2" borderId="491" xfId="0" applyFont="1" applyFill="1" applyBorder="1" applyAlignment="1">
      <alignment horizontal="center" vertical="center" shrinkToFit="1"/>
    </xf>
    <xf numFmtId="212" fontId="52" fillId="2" borderId="9" xfId="4" applyNumberFormat="1" applyFont="1" applyFill="1" applyBorder="1" applyAlignment="1" applyProtection="1">
      <alignment horizontal="right" vertical="center" shrinkToFit="1"/>
    </xf>
    <xf numFmtId="0" fontId="30" fillId="2" borderId="187" xfId="0" applyFont="1" applyFill="1" applyBorder="1" applyAlignment="1">
      <alignment horizontal="left" vertical="center" wrapText="1"/>
    </xf>
    <xf numFmtId="0" fontId="30" fillId="2" borderId="198" xfId="0" applyFont="1" applyFill="1" applyBorder="1" applyAlignment="1">
      <alignment horizontal="left" vertical="center" wrapText="1"/>
    </xf>
    <xf numFmtId="0" fontId="30" fillId="2" borderId="420" xfId="0" applyFont="1" applyFill="1" applyBorder="1" applyAlignment="1">
      <alignment horizontal="left" vertical="center" wrapText="1"/>
    </xf>
    <xf numFmtId="0" fontId="13" fillId="0" borderId="28" xfId="0" applyFont="1" applyBorder="1" applyAlignment="1">
      <alignment horizontal="center" vertical="center" shrinkToFit="1"/>
    </xf>
    <xf numFmtId="0" fontId="13" fillId="0" borderId="129" xfId="0" applyFont="1" applyBorder="1" applyAlignment="1">
      <alignment horizontal="center" vertical="center" shrinkToFit="1"/>
    </xf>
    <xf numFmtId="0" fontId="61" fillId="2" borderId="371" xfId="0" applyFont="1" applyFill="1" applyBorder="1" applyAlignment="1">
      <alignment horizontal="center" vertical="center" wrapText="1" shrinkToFit="1"/>
    </xf>
    <xf numFmtId="0" fontId="30" fillId="2" borderId="336" xfId="0" applyFont="1" applyFill="1" applyBorder="1" applyAlignment="1">
      <alignment horizontal="center" vertical="center" wrapText="1" shrinkToFit="1"/>
    </xf>
    <xf numFmtId="0" fontId="30" fillId="2" borderId="213" xfId="0" applyFont="1" applyFill="1" applyBorder="1" applyAlignment="1">
      <alignment horizontal="left" vertical="center"/>
    </xf>
    <xf numFmtId="0" fontId="30" fillId="2" borderId="464" xfId="0" applyFont="1" applyFill="1" applyBorder="1" applyAlignment="1">
      <alignment horizontal="left" vertical="center"/>
    </xf>
    <xf numFmtId="214" fontId="13" fillId="2" borderId="155" xfId="1" applyNumberFormat="1" applyFont="1" applyFill="1" applyBorder="1" applyAlignment="1">
      <alignment horizontal="center" vertical="center" shrinkToFit="1"/>
    </xf>
    <xf numFmtId="214" fontId="13" fillId="2" borderId="397" xfId="1" applyNumberFormat="1" applyFont="1" applyFill="1" applyBorder="1" applyAlignment="1">
      <alignment horizontal="center" vertical="center" shrinkToFit="1"/>
    </xf>
    <xf numFmtId="2" fontId="13" fillId="2" borderId="340" xfId="1" applyNumberFormat="1" applyFont="1" applyFill="1" applyBorder="1" applyAlignment="1">
      <alignment horizontal="right" vertical="center" shrinkToFit="1"/>
    </xf>
    <xf numFmtId="2" fontId="13" fillId="2" borderId="371" xfId="1" applyNumberFormat="1" applyFont="1" applyFill="1" applyBorder="1" applyAlignment="1">
      <alignment horizontal="right" vertical="center" shrinkToFit="1"/>
    </xf>
    <xf numFmtId="0" fontId="30" fillId="2" borderId="373" xfId="0" applyFont="1" applyFill="1" applyBorder="1" applyAlignment="1">
      <alignment horizontal="left" vertical="center" wrapText="1"/>
    </xf>
    <xf numFmtId="0" fontId="30" fillId="2" borderId="375" xfId="0" applyFont="1" applyFill="1" applyBorder="1" applyAlignment="1">
      <alignment horizontal="left" vertical="center" wrapText="1"/>
    </xf>
    <xf numFmtId="0" fontId="30" fillId="2" borderId="274" xfId="0" applyFont="1" applyFill="1" applyBorder="1" applyAlignment="1">
      <alignment horizontal="center" vertical="center" wrapText="1" shrinkToFit="1"/>
    </xf>
    <xf numFmtId="0" fontId="30" fillId="2" borderId="110" xfId="0" applyFont="1" applyFill="1" applyBorder="1" applyAlignment="1">
      <alignment horizontal="center" vertical="center" wrapText="1" shrinkToFit="1"/>
    </xf>
    <xf numFmtId="20" fontId="30" fillId="2" borderId="380" xfId="0" applyNumberFormat="1" applyFont="1" applyFill="1" applyBorder="1" applyAlignment="1">
      <alignment horizontal="left" vertical="center" wrapText="1"/>
    </xf>
    <xf numFmtId="20" fontId="30" fillId="2" borderId="383" xfId="0" applyNumberFormat="1" applyFont="1" applyFill="1" applyBorder="1" applyAlignment="1">
      <alignment horizontal="left" vertical="center" wrapText="1"/>
    </xf>
    <xf numFmtId="20" fontId="30" fillId="2" borderId="413" xfId="0" applyNumberFormat="1" applyFont="1" applyFill="1" applyBorder="1" applyAlignment="1">
      <alignment horizontal="left" vertical="center" wrapText="1"/>
    </xf>
    <xf numFmtId="0" fontId="30" fillId="2" borderId="557" xfId="0" applyFont="1" applyFill="1" applyBorder="1" applyAlignment="1">
      <alignment horizontal="left" vertical="center" shrinkToFit="1"/>
    </xf>
    <xf numFmtId="0" fontId="30" fillId="2" borderId="559" xfId="0" applyFont="1" applyFill="1" applyBorder="1" applyAlignment="1">
      <alignment horizontal="left" vertical="center" shrinkToFit="1"/>
    </xf>
    <xf numFmtId="0" fontId="30" fillId="2" borderId="560" xfId="0" applyFont="1" applyFill="1" applyBorder="1" applyAlignment="1">
      <alignment horizontal="left" vertical="center" shrinkToFit="1"/>
    </xf>
    <xf numFmtId="212" fontId="13" fillId="2" borderId="21" xfId="1" applyNumberFormat="1" applyFont="1" applyFill="1" applyBorder="1" applyAlignment="1">
      <alignment horizontal="right" vertical="center" shrinkToFit="1"/>
    </xf>
    <xf numFmtId="212" fontId="13" fillId="2" borderId="20" xfId="1" applyNumberFormat="1" applyFont="1" applyFill="1" applyBorder="1" applyAlignment="1">
      <alignment horizontal="right" vertical="center" shrinkToFit="1"/>
    </xf>
    <xf numFmtId="0" fontId="10" fillId="2" borderId="29" xfId="0" applyFont="1" applyFill="1" applyBorder="1" applyAlignment="1">
      <alignment horizontal="center" vertical="center" shrinkToFit="1"/>
    </xf>
    <xf numFmtId="0" fontId="10" fillId="2" borderId="12" xfId="0" applyFont="1" applyFill="1" applyBorder="1" applyAlignment="1">
      <alignment horizontal="center" vertical="center" shrinkToFit="1"/>
    </xf>
    <xf numFmtId="0" fontId="98" fillId="2" borderId="21" xfId="0" applyFont="1" applyFill="1" applyBorder="1" applyAlignment="1">
      <alignment horizontal="center" vertical="top" textRotation="255" wrapText="1" shrinkToFit="1"/>
    </xf>
    <xf numFmtId="0" fontId="98" fillId="2" borderId="15" xfId="0" applyFont="1" applyFill="1" applyBorder="1" applyAlignment="1">
      <alignment horizontal="center" vertical="top" textRotation="255" wrapText="1" shrinkToFit="1"/>
    </xf>
    <xf numFmtId="0" fontId="10" fillId="15" borderId="565" xfId="0" applyFont="1" applyFill="1" applyBorder="1" applyAlignment="1" applyProtection="1">
      <alignment horizontal="center" vertical="center" shrinkToFit="1"/>
    </xf>
    <xf numFmtId="0" fontId="10" fillId="15" borderId="567" xfId="0" applyFont="1" applyFill="1" applyBorder="1" applyAlignment="1" applyProtection="1">
      <alignment horizontal="center" vertical="center" shrinkToFit="1"/>
    </xf>
    <xf numFmtId="0" fontId="10" fillId="15" borderId="331" xfId="0" applyFont="1" applyFill="1" applyBorder="1" applyAlignment="1" applyProtection="1">
      <alignment horizontal="center" vertical="center" shrinkToFit="1"/>
    </xf>
    <xf numFmtId="185" fontId="10" fillId="3" borderId="569" xfId="0" applyNumberFormat="1" applyFont="1" applyFill="1" applyBorder="1" applyAlignment="1">
      <alignment horizontal="center" vertical="center"/>
    </xf>
    <xf numFmtId="185" fontId="10" fillId="3" borderId="570" xfId="0" applyNumberFormat="1" applyFont="1" applyFill="1" applyBorder="1" applyAlignment="1">
      <alignment horizontal="center" vertical="center"/>
    </xf>
    <xf numFmtId="185" fontId="10" fillId="3" borderId="571" xfId="0" applyNumberFormat="1" applyFont="1" applyFill="1" applyBorder="1" applyAlignment="1">
      <alignment horizontal="center" vertical="center"/>
    </xf>
    <xf numFmtId="0" fontId="10" fillId="2" borderId="1"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0" fontId="10" fillId="2" borderId="80" xfId="0" applyFont="1" applyFill="1" applyBorder="1" applyAlignment="1">
      <alignment horizontal="center" vertical="center" shrinkToFit="1"/>
    </xf>
    <xf numFmtId="0" fontId="10" fillId="15" borderId="566" xfId="0" applyFont="1" applyFill="1" applyBorder="1" applyAlignment="1" applyProtection="1">
      <alignment horizontal="center" vertical="center" shrinkToFit="1"/>
    </xf>
    <xf numFmtId="0" fontId="10" fillId="15" borderId="568" xfId="0" applyFont="1" applyFill="1" applyBorder="1" applyAlignment="1" applyProtection="1">
      <alignment horizontal="center" vertical="center" shrinkToFit="1"/>
    </xf>
    <xf numFmtId="0" fontId="10" fillId="15" borderId="332" xfId="0" applyFont="1" applyFill="1" applyBorder="1" applyAlignment="1" applyProtection="1">
      <alignment horizontal="center" vertical="center" shrinkToFit="1"/>
    </xf>
    <xf numFmtId="0" fontId="10" fillId="15" borderId="565" xfId="0" applyFont="1" applyFill="1" applyBorder="1" applyAlignment="1" applyProtection="1">
      <alignment horizontal="center" vertical="center" wrapText="1" shrinkToFit="1"/>
    </xf>
    <xf numFmtId="0" fontId="10" fillId="15" borderId="567" xfId="0" applyFont="1" applyFill="1" applyBorder="1" applyAlignment="1" applyProtection="1">
      <alignment horizontal="center" vertical="center" wrapText="1" shrinkToFit="1"/>
    </xf>
    <xf numFmtId="0" fontId="10" fillId="15" borderId="331" xfId="0" applyFont="1" applyFill="1" applyBorder="1" applyAlignment="1" applyProtection="1">
      <alignment horizontal="center" vertical="center" wrapText="1" shrinkToFit="1"/>
    </xf>
    <xf numFmtId="0" fontId="27" fillId="7" borderId="0" xfId="0" applyFont="1" applyFill="1" applyAlignment="1">
      <alignment horizontal="center" vertical="center" shrinkToFit="1"/>
    </xf>
    <xf numFmtId="0" fontId="16" fillId="2" borderId="0" xfId="0" applyFont="1" applyFill="1" applyAlignment="1">
      <alignment horizontal="center" vertical="center" shrinkToFit="1"/>
    </xf>
    <xf numFmtId="0" fontId="11" fillId="2" borderId="17" xfId="0" applyFont="1" applyFill="1" applyBorder="1" applyAlignment="1">
      <alignment horizontal="center" vertical="center" shrinkToFit="1"/>
    </xf>
    <xf numFmtId="0" fontId="11" fillId="2" borderId="18" xfId="0" applyFont="1" applyFill="1" applyBorder="1" applyAlignment="1">
      <alignment horizontal="center" vertical="center" shrinkToFit="1"/>
    </xf>
    <xf numFmtId="0" fontId="11" fillId="2" borderId="186" xfId="0" applyFont="1" applyFill="1" applyBorder="1" applyAlignment="1">
      <alignment horizontal="center" vertical="center" shrinkToFit="1"/>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4" xfId="0" applyFont="1" applyFill="1" applyBorder="1" applyAlignment="1">
      <alignment horizontal="center" vertical="center"/>
    </xf>
    <xf numFmtId="0" fontId="11" fillId="2" borderId="14" xfId="0" applyFont="1" applyFill="1" applyBorder="1" applyAlignment="1">
      <alignment horizontal="center" vertical="center" shrinkToFit="1"/>
    </xf>
    <xf numFmtId="0" fontId="44" fillId="2" borderId="0" xfId="0" applyFont="1" applyFill="1" applyAlignment="1">
      <alignment horizontal="left" vertical="center" shrinkToFit="1"/>
    </xf>
    <xf numFmtId="0" fontId="10" fillId="2" borderId="78" xfId="0" applyFont="1" applyFill="1" applyBorder="1" applyAlignment="1">
      <alignment horizontal="center" vertical="center" textRotation="255"/>
    </xf>
    <xf numFmtId="0" fontId="10" fillId="2" borderId="79" xfId="0" applyFont="1" applyFill="1" applyBorder="1" applyAlignment="1">
      <alignment horizontal="center" vertical="center" textRotation="255"/>
    </xf>
    <xf numFmtId="0" fontId="98" fillId="2" borderId="21" xfId="0" applyFont="1" applyFill="1" applyBorder="1" applyAlignment="1">
      <alignment horizontal="center" vertical="top" textRotation="255" shrinkToFit="1"/>
    </xf>
    <xf numFmtId="0" fontId="98" fillId="2" borderId="15" xfId="0" applyFont="1" applyFill="1" applyBorder="1" applyAlignment="1">
      <alignment horizontal="center" vertical="top" textRotation="255" shrinkToFit="1"/>
    </xf>
    <xf numFmtId="0" fontId="13" fillId="0" borderId="63" xfId="0" applyFont="1" applyBorder="1" applyAlignment="1">
      <alignment horizontal="center" vertical="center" shrinkToFit="1"/>
    </xf>
    <xf numFmtId="0" fontId="13" fillId="6" borderId="17" xfId="0" applyFont="1" applyFill="1" applyBorder="1" applyAlignment="1" applyProtection="1">
      <alignment horizontal="center" vertical="center" shrinkToFit="1"/>
      <protection locked="0"/>
    </xf>
    <xf numFmtId="0" fontId="13" fillId="6" borderId="18" xfId="0" applyFont="1" applyFill="1" applyBorder="1" applyAlignment="1" applyProtection="1">
      <alignment horizontal="center" vertical="center" shrinkToFit="1"/>
      <protection locked="0"/>
    </xf>
    <xf numFmtId="0" fontId="13" fillId="6" borderId="186" xfId="0" applyFont="1" applyFill="1" applyBorder="1" applyAlignment="1" applyProtection="1">
      <alignment horizontal="center" vertical="center" shrinkToFit="1"/>
      <protection locked="0"/>
    </xf>
    <xf numFmtId="0" fontId="13" fillId="0" borderId="63" xfId="0" applyFont="1" applyBorder="1" applyAlignment="1">
      <alignment horizontal="left" vertical="center" shrinkToFit="1"/>
    </xf>
    <xf numFmtId="0" fontId="13" fillId="4" borderId="18" xfId="0" applyFont="1" applyFill="1" applyBorder="1" applyAlignment="1" applyProtection="1">
      <alignment horizontal="center" vertical="center"/>
      <protection locked="0"/>
    </xf>
    <xf numFmtId="0" fontId="13" fillId="0" borderId="572" xfId="0" applyFont="1" applyBorder="1" applyAlignment="1">
      <alignment horizontal="left" vertical="center" shrinkToFit="1"/>
    </xf>
    <xf numFmtId="0" fontId="13" fillId="0" borderId="573" xfId="0" applyFont="1" applyBorder="1" applyAlignment="1">
      <alignment horizontal="left" vertical="center" shrinkToFit="1"/>
    </xf>
    <xf numFmtId="0" fontId="13" fillId="0" borderId="574" xfId="0" applyFont="1" applyBorder="1" applyAlignment="1">
      <alignment horizontal="left" vertical="center" shrinkToFit="1"/>
    </xf>
    <xf numFmtId="0" fontId="13" fillId="0" borderId="84" xfId="0" applyFont="1" applyBorder="1" applyAlignment="1">
      <alignment horizontal="left" vertical="center" shrinkToFit="1"/>
    </xf>
    <xf numFmtId="0" fontId="13" fillId="0" borderId="85" xfId="0" applyFont="1" applyBorder="1" applyAlignment="1">
      <alignment horizontal="left" vertical="center" shrinkToFit="1"/>
    </xf>
    <xf numFmtId="0" fontId="13" fillId="0" borderId="86" xfId="0" applyFont="1" applyBorder="1" applyAlignment="1">
      <alignment horizontal="left" vertical="center" shrinkToFit="1"/>
    </xf>
  </cellXfs>
  <cellStyles count="17">
    <cellStyle name="パーセント" xfId="5" builtinId="5"/>
    <cellStyle name="ハイパーリンク" xfId="13" builtinId="8"/>
    <cellStyle name="桁区切り" xfId="4" builtinId="6"/>
    <cellStyle name="桁区切り 2" xfId="2" xr:uid="{00000000-0005-0000-0000-000003000000}"/>
    <cellStyle name="標準" xfId="0" builtinId="0"/>
    <cellStyle name="標準 15" xfId="8" xr:uid="{00000000-0005-0000-0000-000005000000}"/>
    <cellStyle name="標準 15 2" xfId="11" xr:uid="{00000000-0005-0000-0000-000006000000}"/>
    <cellStyle name="標準 2" xfId="1" xr:uid="{00000000-0005-0000-0000-000007000000}"/>
    <cellStyle name="標準 2 2" xfId="9" xr:uid="{00000000-0005-0000-0000-000008000000}"/>
    <cellStyle name="標準 2 4" xfId="6" xr:uid="{00000000-0005-0000-0000-000009000000}"/>
    <cellStyle name="標準 20" xfId="14" xr:uid="{00000000-0005-0000-0000-00000A000000}"/>
    <cellStyle name="標準 22" xfId="16" xr:uid="{00000000-0005-0000-0000-00000B000000}"/>
    <cellStyle name="標準 3" xfId="3" xr:uid="{00000000-0005-0000-0000-00000C000000}"/>
    <cellStyle name="標準 3 2" xfId="7" xr:uid="{00000000-0005-0000-0000-00000D000000}"/>
    <cellStyle name="標準 3 2 4" xfId="15" xr:uid="{00000000-0005-0000-0000-00000E000000}"/>
    <cellStyle name="標準 4" xfId="12" xr:uid="{00000000-0005-0000-0000-00000F000000}"/>
    <cellStyle name="標準 4 2" xfId="10" xr:uid="{00000000-0005-0000-0000-000010000000}"/>
  </cellStyles>
  <dxfs count="158">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font>
      <fill>
        <patternFill>
          <bgColor theme="0"/>
        </patternFill>
      </fill>
    </dxf>
    <dxf>
      <fill>
        <patternFill patternType="gray0625">
          <fgColor theme="1"/>
          <bgColor theme="0"/>
        </patternFill>
      </fill>
    </dxf>
    <dxf>
      <font>
        <color rgb="FFFF0000"/>
      </font>
    </dxf>
    <dxf>
      <fill>
        <patternFill patternType="gray0625">
          <bgColor theme="0"/>
        </patternFill>
      </fill>
    </dxf>
    <dxf>
      <fill>
        <patternFill>
          <bgColor theme="6"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FF0000"/>
      </font>
      <fill>
        <patternFill>
          <bgColor theme="0"/>
        </patternFill>
      </fill>
    </dxf>
    <dxf>
      <font>
        <color rgb="FFFF0000"/>
      </font>
      <fill>
        <patternFill>
          <bgColor theme="0"/>
        </patternFill>
      </fill>
    </dxf>
    <dxf>
      <fill>
        <patternFill>
          <bgColor theme="0"/>
        </patternFill>
      </fill>
    </dxf>
    <dxf>
      <font>
        <color rgb="FFFF0000"/>
      </font>
      <fill>
        <patternFill>
          <bgColor theme="0"/>
        </patternFill>
      </fill>
    </dxf>
    <dxf>
      <font>
        <color rgb="FFFF0000"/>
      </font>
      <fill>
        <patternFill>
          <bgColor theme="0"/>
        </patternFill>
      </fill>
    </dxf>
    <dxf>
      <fill>
        <patternFill>
          <bgColor theme="9" tint="0.79998168889431442"/>
        </patternFill>
      </fill>
    </dxf>
    <dxf>
      <fill>
        <patternFill>
          <bgColor theme="9" tint="0.79998168889431442"/>
        </patternFill>
      </fill>
    </dxf>
    <dxf>
      <fill>
        <patternFill>
          <bgColor rgb="FFFF0000"/>
        </patternFill>
      </fill>
    </dxf>
    <dxf>
      <fill>
        <patternFill>
          <bgColor theme="6" tint="0.79998168889431442"/>
        </patternFill>
      </fill>
    </dxf>
    <dxf>
      <fill>
        <patternFill>
          <bgColor rgb="FFFF0000"/>
        </patternFill>
      </fill>
    </dxf>
    <dxf>
      <fill>
        <patternFill>
          <bgColor rgb="FFFFFFCC"/>
        </patternFill>
      </fill>
    </dxf>
    <dxf>
      <fill>
        <patternFill>
          <bgColor rgb="FFFF0000"/>
        </patternFill>
      </fill>
    </dxf>
    <dxf>
      <fill>
        <patternFill>
          <bgColor rgb="FFFF0000"/>
        </patternFill>
      </fill>
    </dxf>
    <dxf>
      <fill>
        <patternFill>
          <bgColor theme="9" tint="0.79998168889431442"/>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rgb="FFFF0000"/>
        </patternFill>
      </fill>
    </dxf>
    <dxf>
      <font>
        <b val="0"/>
        <i/>
        <u/>
      </font>
      <fill>
        <patternFill>
          <bgColor rgb="FFFF99FF"/>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125">
          <bgColor theme="0"/>
        </patternFill>
      </fill>
    </dxf>
    <dxf>
      <fill>
        <patternFill>
          <bgColor theme="0"/>
        </patternFill>
      </fill>
    </dxf>
    <dxf>
      <fill>
        <patternFill patternType="gray125">
          <bgColor theme="0"/>
        </patternFill>
      </fill>
    </dxf>
    <dxf>
      <fill>
        <patternFill patternType="gray125">
          <bgColor theme="0"/>
        </patternFill>
      </fill>
    </dxf>
    <dxf>
      <font>
        <color theme="4"/>
      </font>
    </dxf>
    <dxf>
      <font>
        <color rgb="FFFF0000"/>
      </font>
    </dxf>
    <dxf>
      <font>
        <color theme="4"/>
      </font>
    </dxf>
    <dxf>
      <font>
        <color rgb="FFFF0000"/>
      </font>
    </dxf>
    <dxf>
      <fill>
        <patternFill patternType="gray125">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ont>
        <color theme="0"/>
      </font>
    </dxf>
    <dxf>
      <font>
        <color rgb="FFFF0000"/>
      </font>
    </dxf>
    <dxf>
      <font>
        <color rgb="FFFF0000"/>
      </font>
    </dxf>
    <dxf>
      <font>
        <color rgb="FFFF0000"/>
      </font>
    </dxf>
    <dxf>
      <font>
        <color rgb="FFFF0000"/>
      </font>
    </dxf>
    <dxf>
      <fill>
        <patternFill>
          <bgColor theme="0" tint="-4.9989318521683403E-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2D05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9"/>
        <color theme="1"/>
        <name val="ＭＳ ゴシック"/>
        <scheme val="none"/>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border>
      <protection locked="1" hidden="0"/>
    </dxf>
    <dxf>
      <protection locked="1" hidden="0"/>
    </dxf>
    <dxf>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top style="thin">
          <color indexed="64"/>
        </top>
        <bottom/>
      </border>
      <protection locked="1" hidden="0"/>
    </dxf>
    <dxf>
      <font>
        <b val="0"/>
        <i val="0"/>
        <strike val="0"/>
        <condense val="0"/>
        <extend val="0"/>
        <outline val="0"/>
        <shadow val="0"/>
        <u val="none"/>
        <vertAlign val="baseline"/>
        <sz val="9"/>
        <color theme="1"/>
        <name val="ＭＳ ゴシック"/>
        <scheme val="none"/>
      </font>
      <numFmt numFmtId="0" formatCode="General"/>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top style="thin">
          <color indexed="64"/>
        </top>
        <bottom/>
      </border>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thin">
          <color rgb="FF000000"/>
        </left>
        <right style="thin">
          <color rgb="FF000000"/>
        </right>
        <top style="thin">
          <color rgb="FF000000"/>
        </top>
        <bottom style="thin">
          <color rgb="FF000000"/>
        </bottom>
      </border>
    </dxf>
    <dxf>
      <protection locked="1" hidden="0"/>
    </dxf>
    <dxf>
      <font>
        <b/>
        <i val="0"/>
        <strike val="0"/>
        <condense val="0"/>
        <extend val="0"/>
        <outline val="0"/>
        <shadow val="0"/>
        <u val="none"/>
        <vertAlign val="baseline"/>
        <sz val="9"/>
        <color theme="1"/>
        <name val="ＭＳ ゴシック"/>
        <scheme val="none"/>
      </font>
      <numFmt numFmtId="0" formatCode="General"/>
      <alignment horizontal="center" vertical="center" textRotation="0" wrapText="0" indent="0" justifyLastLine="0" shrinkToFit="0" readingOrder="0"/>
      <protection locked="1" hidden="0"/>
    </dxf>
  </dxfs>
  <tableStyles count="0" defaultTableStyle="TableStyleMedium2" defaultPivotStyle="PivotStyleLight16"/>
  <colors>
    <mruColors>
      <color rgb="FFCCECFF"/>
      <color rgb="FFFF99FF"/>
      <color rgb="FFFFFFCC"/>
      <color rgb="FFFFCCFF"/>
      <color rgb="FFFF99CC"/>
      <color rgb="FFFF9900"/>
      <color rgb="FFFFCCCC"/>
      <color rgb="FFCC99FF"/>
      <color rgb="FF99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776653</xdr:colOff>
      <xdr:row>0</xdr:row>
      <xdr:rowOff>0</xdr:rowOff>
    </xdr:from>
    <xdr:to>
      <xdr:col>31</xdr:col>
      <xdr:colOff>437405</xdr:colOff>
      <xdr:row>2</xdr:row>
      <xdr:rowOff>48446</xdr:rowOff>
    </xdr:to>
    <xdr:pic>
      <xdr:nvPicPr>
        <xdr:cNvPr id="2" name="図 1">
          <a:extLst>
            <a:ext uri="{FF2B5EF4-FFF2-40B4-BE49-F238E27FC236}">
              <a16:creationId xmlns:a16="http://schemas.microsoft.com/office/drawing/2014/main" id="{7F285CEC-0E0F-8878-8EAA-51417847936C}"/>
            </a:ext>
          </a:extLst>
        </xdr:cNvPr>
        <xdr:cNvPicPr>
          <a:picLocks noChangeAspect="1"/>
        </xdr:cNvPicPr>
      </xdr:nvPicPr>
      <xdr:blipFill>
        <a:blip xmlns:r="http://schemas.openxmlformats.org/officeDocument/2006/relationships" r:embed="rId1"/>
        <a:stretch>
          <a:fillRect/>
        </a:stretch>
      </xdr:blipFill>
      <xdr:spPr>
        <a:xfrm>
          <a:off x="18566422" y="0"/>
          <a:ext cx="6562713" cy="379134"/>
        </a:xfrm>
        <a:prstGeom prst="rect">
          <a:avLst/>
        </a:prstGeom>
      </xdr:spPr>
    </xdr:pic>
    <xdr:clientData/>
  </xdr:twoCellAnchor>
  <xdr:twoCellAnchor>
    <xdr:from>
      <xdr:col>18</xdr:col>
      <xdr:colOff>420481</xdr:colOff>
      <xdr:row>0</xdr:row>
      <xdr:rowOff>69435</xdr:rowOff>
    </xdr:from>
    <xdr:to>
      <xdr:col>22</xdr:col>
      <xdr:colOff>1248741</xdr:colOff>
      <xdr:row>2</xdr:row>
      <xdr:rowOff>381000</xdr:rowOff>
    </xdr:to>
    <xdr:sp macro="" textlink="">
      <xdr:nvSpPr>
        <xdr:cNvPr id="3" name="正方形/長方形 2">
          <a:extLst>
            <a:ext uri="{FF2B5EF4-FFF2-40B4-BE49-F238E27FC236}">
              <a16:creationId xmlns:a16="http://schemas.microsoft.com/office/drawing/2014/main" id="{86F684DB-495B-CDE2-B804-9E8C42A5BF36}"/>
            </a:ext>
          </a:extLst>
        </xdr:cNvPr>
        <xdr:cNvSpPr/>
      </xdr:nvSpPr>
      <xdr:spPr>
        <a:xfrm>
          <a:off x="13316503" y="69435"/>
          <a:ext cx="3072847" cy="64286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O</a:t>
          </a:r>
          <a:r>
            <a:rPr kumimoji="1" lang="ja-JP" altLang="en-US" sz="1100"/>
            <a:t>列のオレンジ色網掛けは分園がある施設の本園の人数に修正</a:t>
          </a:r>
          <a:endParaRPr kumimoji="1" lang="en-US" altLang="ja-JP" sz="1100"/>
        </a:p>
        <a:p>
          <a:pPr algn="l"/>
          <a:r>
            <a:rPr kumimoji="1" lang="ja-JP" altLang="en-US" sz="1100"/>
            <a:t>⇒</a:t>
          </a:r>
          <a:r>
            <a:rPr kumimoji="1" lang="en-US" altLang="ja-JP" sz="1100"/>
            <a:t>R8</a:t>
          </a:r>
          <a:r>
            <a:rPr kumimoji="1" lang="ja-JP" altLang="en-US" sz="1100"/>
            <a:t>は保育所の関数に合わせたい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128510</xdr:colOff>
      <xdr:row>0</xdr:row>
      <xdr:rowOff>244928</xdr:rowOff>
    </xdr:from>
    <xdr:to>
      <xdr:col>16</xdr:col>
      <xdr:colOff>3871834</xdr:colOff>
      <xdr:row>7</xdr:row>
      <xdr:rowOff>119441</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9424910" y="244928"/>
          <a:ext cx="3743324" cy="216051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16</xdr:col>
      <xdr:colOff>113661</xdr:colOff>
      <xdr:row>7</xdr:row>
      <xdr:rowOff>272143</xdr:rowOff>
    </xdr:from>
    <xdr:to>
      <xdr:col>16</xdr:col>
      <xdr:colOff>3896445</xdr:colOff>
      <xdr:row>39</xdr:row>
      <xdr:rowOff>146477</xdr:rowOff>
    </xdr:to>
    <xdr:sp macro="" textlink="">
      <xdr:nvSpPr>
        <xdr:cNvPr id="5" name="正方形/長方形 4">
          <a:extLst>
            <a:ext uri="{FF2B5EF4-FFF2-40B4-BE49-F238E27FC236}">
              <a16:creationId xmlns:a16="http://schemas.microsoft.com/office/drawing/2014/main" id="{00000000-0008-0000-0A00-000005000000}"/>
            </a:ext>
          </a:extLst>
        </xdr:cNvPr>
        <xdr:cNvSpPr/>
      </xdr:nvSpPr>
      <xdr:spPr>
        <a:xfrm>
          <a:off x="9475375" y="2272393"/>
          <a:ext cx="3782784" cy="901833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1</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減算を解除する場合に作成してください。なお、事前に子ども未来局の担当部署</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施設運営課等</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に協議が必要です。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個票に記載した協議年月日と申出書提出日は一致します。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利用初日児童数（予定）</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入力した予定児童数の年間在所率が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％以上の場合は、不適切な計画とみなし減算解除を認めません。</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また、原則は定員の範囲内での利用が望ましいため、</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％を超過しない場合でも、継続的に利用児童数が定員を超過している場合も不適切な計画とみなす場合があります。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年度以降は、上記条件に加え見直した月から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見直し月が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の平均在所率が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％未満である必要があります。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16</xdr:col>
      <xdr:colOff>108858</xdr:colOff>
      <xdr:row>42</xdr:row>
      <xdr:rowOff>39221</xdr:rowOff>
    </xdr:from>
    <xdr:to>
      <xdr:col>16</xdr:col>
      <xdr:colOff>3891642</xdr:colOff>
      <xdr:row>70</xdr:row>
      <xdr:rowOff>188099</xdr:rowOff>
    </xdr:to>
    <xdr:sp macro="" textlink="">
      <xdr:nvSpPr>
        <xdr:cNvPr id="6" name="正方形/長方形 5">
          <a:extLst>
            <a:ext uri="{FF2B5EF4-FFF2-40B4-BE49-F238E27FC236}">
              <a16:creationId xmlns:a16="http://schemas.microsoft.com/office/drawing/2014/main" id="{00000000-0008-0000-0A00-000006000000}"/>
            </a:ext>
          </a:extLst>
        </xdr:cNvPr>
        <xdr:cNvSpPr/>
      </xdr:nvSpPr>
      <xdr:spPr>
        <a:xfrm>
          <a:off x="9470572" y="12040721"/>
          <a:ext cx="3782784" cy="843562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2</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減算解除を行っていた施設のみ、</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月加算と併せて当該様式を作成してください。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当該実績報告により減算解除要件を満たさないと判明した場合は以下の取扱いとなります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①</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以上だが、年度途中で定員超過を解消した場合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→年度当初～定員超過を解消した前月まで遡って減算適用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②</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％以上、かつ年度を通して定員超過であった場合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→年度当初にさかのぼって減算を適用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日で固定。</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個票より引用。従前に提出した様式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と一致させてください。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利用初日児童数（実績）</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当該年度の受入れ児童数を実績値で記載してください。なお、市外児童も含みます。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入力した実績値に応じて、減算解除継続、遡及減算適用のいずれかが適用されます。</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128510</xdr:colOff>
      <xdr:row>0</xdr:row>
      <xdr:rowOff>244928</xdr:rowOff>
    </xdr:from>
    <xdr:to>
      <xdr:col>16</xdr:col>
      <xdr:colOff>3871834</xdr:colOff>
      <xdr:row>7</xdr:row>
      <xdr:rowOff>119441</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9424910" y="244928"/>
          <a:ext cx="3743324" cy="216051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16</xdr:col>
      <xdr:colOff>140876</xdr:colOff>
      <xdr:row>7</xdr:row>
      <xdr:rowOff>244929</xdr:rowOff>
    </xdr:from>
    <xdr:to>
      <xdr:col>16</xdr:col>
      <xdr:colOff>3923660</xdr:colOff>
      <xdr:row>39</xdr:row>
      <xdr:rowOff>119263</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9502590" y="2245179"/>
          <a:ext cx="3782784" cy="901833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1</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減算を解除する場合に作成してください。なお、事前に子ども未来局の担当部署</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施設運営課等</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に協議が必要です。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個票に記載した協議年月日と申出書提出日は一致します。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利用初日児童数（予定）</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入力した予定児童数の年間在所率が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％以上の場合は、不適切な計画とみなし減算解除を認めません。</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また、原則は定員の範囲内での利用が望ましいため、</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％を超過しない場合でも、継続的に利用児童数が定員を超過している場合も不適切な計画とみなす場合があります。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2022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年度以降は、上記条件に加え見直した月から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見直し月が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か月間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の平均在所率が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％未満である必要があります。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16</xdr:col>
      <xdr:colOff>163287</xdr:colOff>
      <xdr:row>42</xdr:row>
      <xdr:rowOff>243327</xdr:rowOff>
    </xdr:from>
    <xdr:to>
      <xdr:col>16</xdr:col>
      <xdr:colOff>3946071</xdr:colOff>
      <xdr:row>71</xdr:row>
      <xdr:rowOff>106455</xdr:rowOff>
    </xdr:to>
    <xdr:sp macro="" textlink="">
      <xdr:nvSpPr>
        <xdr:cNvPr id="6" name="正方形/長方形 5">
          <a:extLst>
            <a:ext uri="{FF2B5EF4-FFF2-40B4-BE49-F238E27FC236}">
              <a16:creationId xmlns:a16="http://schemas.microsoft.com/office/drawing/2014/main" id="{00000000-0008-0000-0B00-000006000000}"/>
            </a:ext>
          </a:extLst>
        </xdr:cNvPr>
        <xdr:cNvSpPr/>
      </xdr:nvSpPr>
      <xdr:spPr>
        <a:xfrm>
          <a:off x="9525001" y="12244827"/>
          <a:ext cx="3782784" cy="814987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2</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減算解除を行っていた施設のみ、</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月加算と併せて当該様式を作成してください。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当該実績報告により減算解除要件を満たさないと判明した場合は以下の取扱いとなります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①</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以上だが、年度途中で定員超過を解消した場合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→年度当初～定員超過を解消した前月まで遡って減算適用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②</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年間平均在所率が</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％以上、かつ年度を通して定員超過であった場合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→年度当初にさかのぼって減算を適用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日付</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日で固定。</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申出者</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原則は加算適用申請書と一致します。</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施設名</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から引用</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見直した区分</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個票より引用。従前に提出した様式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と一致させてください。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定員</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定員を見直した場合は「見直し後」と「見直しした月」を記載してください。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見直し前は様式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からの引用です。修正する場合のみ上書きしてください。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利用初日児童数（実績）</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当該年度の受入れ児童数を実績値で記載してください。なお、市外児童も含みます。</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入力した実績値に応じて、減算解除継続、遡及減算適用のいずれかが適用されます。</a:t>
          </a:r>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84486</xdr:colOff>
      <xdr:row>0</xdr:row>
      <xdr:rowOff>56030</xdr:rowOff>
    </xdr:from>
    <xdr:to>
      <xdr:col>12</xdr:col>
      <xdr:colOff>3827810</xdr:colOff>
      <xdr:row>10</xdr:row>
      <xdr:rowOff>36999</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7809261" y="56030"/>
          <a:ext cx="3743324" cy="283846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12</xdr:col>
      <xdr:colOff>67235</xdr:colOff>
      <xdr:row>10</xdr:row>
      <xdr:rowOff>156882</xdr:rowOff>
    </xdr:from>
    <xdr:to>
      <xdr:col>12</xdr:col>
      <xdr:colOff>3850019</xdr:colOff>
      <xdr:row>35</xdr:row>
      <xdr:rowOff>223316</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7765676" y="3070411"/>
          <a:ext cx="3782784" cy="7350258"/>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計画書作成日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作成した日にちが</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日の場合は当該月、</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日以降の場合は翌月からの該当となります。</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当該計画書作成者</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役職及び氏名を記載してください。通常は小学校連携・接続担当と一致します。</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交流先</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小学校側の情報を記載してください。また、交流先への事前相談は必須要件です。事前相談の無い計画は無効となりますのでご注意ください。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交流予定年月日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年度内が条件です。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行事名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交流行事名を記載してください。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行事内容</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行事・交流内容を簡単に記載してください。別紙を参照する場合は、「別紙参照」と記載のうえ別紙を添付してください。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教職員と子どもの両方の交流が要件です。教職員のみの交流などは対象外となります。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・交流は年</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回以上が要件です。</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回以上実施している場合は</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回分を記載してください。また、</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回の交流にとどまる場合は対象外です。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2162</xdr:colOff>
      <xdr:row>0</xdr:row>
      <xdr:rowOff>141406</xdr:rowOff>
    </xdr:from>
    <xdr:to>
      <xdr:col>12</xdr:col>
      <xdr:colOff>4558393</xdr:colOff>
      <xdr:row>12</xdr:row>
      <xdr:rowOff>77907</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12928948" y="141406"/>
          <a:ext cx="4556231" cy="222250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11</xdr:col>
      <xdr:colOff>116142</xdr:colOff>
      <xdr:row>13</xdr:row>
      <xdr:rowOff>67903</xdr:rowOff>
    </xdr:from>
    <xdr:to>
      <xdr:col>40</xdr:col>
      <xdr:colOff>114300</xdr:colOff>
      <xdr:row>92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450892" y="2544403"/>
          <a:ext cx="4836858" cy="1498159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常勤換算</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・下記の職員名簿に記載した教員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保育士</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の配置状況の内訳を記載しています。人数に誤りがある場合は職員名簿に記入漏れ等が無いかをご確認ください。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就業規則等で定める所定労働時間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月を記入してください。</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入力が漏れると常勤換算数が計算されません</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常勤換算数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常勤換算数を算出します。また、当該数値が様式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に引用されます。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職員名簿</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初日時点の事務職員等を含む全ての職員について記入してください。月途中で採用した職員は常勤・非常勤にかかわらず記載しないでください。</a:t>
          </a:r>
          <a:endPar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なお、業務委託と雇用職員（派遣含む）を分けて記載してください。業務委託については、保育教諭（発令有）のみ常勤換算数に含まれます。</a:t>
          </a:r>
          <a:endPar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  また、看護師・保健師を保育士として配置職員数に含める場合（１人に限る）は、以下の①及び②の要件を満たすか、②、➂及び④の要件を満たしている必要があります。</a:t>
          </a:r>
          <a:endPar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保育士としての配置職員数に含めない場合、職員区分を「その他」にして、備考に「看護師」もしくは「保健師」と記載してください。</a:t>
          </a: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要件①</a:t>
          </a:r>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月初日の乳児が４人以上</a:t>
          </a:r>
          <a:endPar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要件②</a:t>
          </a:r>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保育士として職員配置に含める看護師等が適切な従事をしている</a:t>
          </a: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要件③</a:t>
          </a:r>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該当の看護師・保健師が保育士と合同の組・グループを編成し、同一空間内で保育を行っている。</a:t>
          </a: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要件④</a:t>
          </a:r>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認可保育所等での経験年数が３年以上、または２年以下である場合は、地域型保育コース等の研修を修了している。</a:t>
          </a:r>
        </a:p>
        <a:p>
          <a:r>
            <a:rPr kumimoji="1" lang="en-US" altLang="ja-JP" sz="1000" b="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rgbClr val="FF0000"/>
              </a:solidFill>
              <a:effectLst/>
              <a:latin typeface="ＭＳ ゴシック" panose="020B0609070205080204" pitchFamily="49" charset="-128"/>
              <a:ea typeface="ＭＳ ゴシック" panose="020B0609070205080204" pitchFamily="49" charset="-128"/>
              <a:cs typeface="+mn-cs"/>
            </a:rPr>
            <a:t>要件②については、監査で実態を確認します。</a:t>
          </a:r>
          <a:endPar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①　職員氏名</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職員氏名を誤りなく記載。業務委託の場合は会社名を記載。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②　職員状況</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・職種区分</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施設長、副園長・教頭、保育教諭（発令有）、保育教諭（発令無）、栄養士等、調理員、事務員、学校医、その他、看護師・保健師から選択。業務委託の場合は選択不要。</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・資格</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幼稚園教諭免許＆保育士資格、幼稚園教諭免許、保育士資格、資格無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期限切含む</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から選択。各施設区分での保育教諭としての資格要件は以下のとおりです。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幼保連携型：幼稚園免許　かつ　保育士資格</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（経過措置期間中はどちらか片方でも可）</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保育所型：保育士資格</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幼稚園型：幼稚園免許</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地方裁量型：幼稚園免許　又は　保育士資格</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・初日時点の給与状況</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有給・有給（他法活用）・無給を選択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有給（他法活用）</a:t>
          </a:r>
          <a:endPar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傷病手当金や特定求職者雇用開発助成金など、他制度を用いて職員給与を支払っている場合が該当します。</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0070C0"/>
              </a:solidFill>
              <a:effectLst/>
              <a:latin typeface="ＭＳ ゴシック" panose="020B0609070205080204" pitchFamily="49" charset="-128"/>
              <a:ea typeface="ＭＳ ゴシック" panose="020B0609070205080204" pitchFamily="49" charset="-128"/>
              <a:cs typeface="+mn-cs"/>
            </a:rPr>
            <a:t>　代替（助成金等対象）</a:t>
          </a:r>
          <a:endParaRPr kumimoji="1" lang="en-US" altLang="ja-JP" sz="1000">
            <a:solidFill>
              <a:srgbClr val="0070C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　小学校休校等助成金等による代替職員となります。これらの職員は助成金で措置される職員となるため、給付費を算出する職員配置には含まれません。</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　＜代替職員雇用に充てられる助成金の取扱い＞</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・休職職員（有給）：「有給」を選択。職員配置に含む</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・代替職員（有給）：「代替」を選択。職員配置に含まない　</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③　雇用形態</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・常勤、非常勤</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常勤、非常勤から選択。ただし、常勤だが他職種と兼務又は時短勤務職員は非常勤を選択。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・契約形態</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常勤</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正職、臨職、嘱託契約、派遣契約から選択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非常勤</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常勤－時短</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兼務、雇用契約、派遣契約、嘱託契約から選択。なお、パート職員は非常勤➡雇用契約です。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・非常勤の勤務時間</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業務委託の場合は直接入力、雇用職員の場合は様式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で入力。なお、入力は月当たりの予定時間数（単位は時間）とし、十進数で入力すること。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⑤　雇用開始日</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雇用開始日を記載。記載は西暦で「○○年△月□日」の場合は「○○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」。また、雇用開始日の下にある日付以前の方のみが入力可能。</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⑥　算入判定</a:t>
          </a:r>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入力漏れ等があると「エラー」と表示されるため見直すこと。また、月初日に</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歳児（乳児）が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人以上いる場合、一番上に記載された看護師・保健師を１名保育士としてカウントします。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1" i="0" u="none" strike="noStrike">
              <a:solidFill>
                <a:srgbClr val="FF0000"/>
              </a:solidFill>
              <a:effectLst/>
              <a:latin typeface="ＭＳ ゴシック" panose="020B0609070205080204" pitchFamily="49" charset="-128"/>
              <a:ea typeface="ＭＳ ゴシック" panose="020B0609070205080204" pitchFamily="49" charset="-128"/>
              <a:cs typeface="+mn-cs"/>
            </a:rPr>
            <a:t>＜注意＞</a:t>
          </a:r>
          <a:endParaRPr lang="en-US" altLang="ja-JP" sz="1000" b="1" i="0" u="none" strike="noStrike">
            <a:solidFill>
              <a:srgbClr val="FF0000"/>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・勤務時間数は超過勤務時間を含みません。</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原則「コピー＆ペースト」は行わないでください。</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行う場合は貼付け時に「値のみ貼り付け」としてください。</a:t>
          </a:r>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・保育教諭の「発令有」と「発令無」について</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雇用契約又は発令等で「保育教諭」と定めているもの➡発令有</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それ以外（資格要件を満たす事務員を雇用した等）➡発令無</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　保育教諭（発令無）は教諭ではなく補助者扱いとなります。</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・委託・派遣の場合は、勤務（予定）時間のわかる挙証書類を別途添付してください。</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例</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1</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）月当たりに勤務時間が記載された契約書の写し</a:t>
          </a:r>
        </a:p>
        <a:p>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例</a:t>
          </a:r>
          <a:r>
            <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2</a:t>
          </a:r>
          <a:r>
            <a:rPr lang="ja-JP" altLang="en-US" sz="1000" b="0" i="0" u="none" strike="noStrike">
              <a:solidFill>
                <a:schemeClr val="dk1"/>
              </a:solidFill>
              <a:effectLst/>
              <a:latin typeface="ＭＳ ゴシック" panose="020B0609070205080204" pitchFamily="49" charset="-128"/>
              <a:ea typeface="ＭＳ ゴシック" panose="020B0609070205080204" pitchFamily="49" charset="-128"/>
              <a:cs typeface="+mn-cs"/>
            </a:rPr>
            <a:t>）派遣予定シフト表</a:t>
          </a:r>
        </a:p>
        <a:p>
          <a:endParaRPr lang="en-US" altLang="ja-JP" sz="10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14</xdr:col>
      <xdr:colOff>449036</xdr:colOff>
      <xdr:row>41</xdr:row>
      <xdr:rowOff>136072</xdr:rowOff>
    </xdr:from>
    <xdr:to>
      <xdr:col>18</xdr:col>
      <xdr:colOff>28816</xdr:colOff>
      <xdr:row>45</xdr:row>
      <xdr:rowOff>158483</xdr:rowOff>
    </xdr:to>
    <xdr:sp macro="" textlink="">
      <xdr:nvSpPr>
        <xdr:cNvPr id="5" name="吹き出し: 四角形 4">
          <a:extLst>
            <a:ext uri="{FF2B5EF4-FFF2-40B4-BE49-F238E27FC236}">
              <a16:creationId xmlns:a16="http://schemas.microsoft.com/office/drawing/2014/main" id="{7253517E-99EE-49EA-9A74-75A47198F353}"/>
            </a:ext>
          </a:extLst>
        </xdr:cNvPr>
        <xdr:cNvSpPr/>
      </xdr:nvSpPr>
      <xdr:spPr>
        <a:xfrm>
          <a:off x="18600965" y="7756072"/>
          <a:ext cx="1580030" cy="784411"/>
        </a:xfrm>
        <a:prstGeom prst="wedgeRectCallout">
          <a:avLst>
            <a:gd name="adj1" fmla="val -48724"/>
            <a:gd name="adj2" fmla="val -6778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経過措置なくなるため、常に</a:t>
          </a:r>
          <a:r>
            <a:rPr kumimoji="1" lang="en-US" altLang="ja-JP" sz="1100"/>
            <a:t>TRUE</a:t>
          </a:r>
          <a:endParaRPr kumimoji="1" lang="ja-JP" altLang="en-US" sz="1100"/>
        </a:p>
      </xdr:txBody>
    </xdr:sp>
    <xdr:clientData/>
  </xdr:twoCellAnchor>
  <xdr:twoCellAnchor>
    <xdr:from>
      <xdr:col>1</xdr:col>
      <xdr:colOff>57150</xdr:colOff>
      <xdr:row>0</xdr:row>
      <xdr:rowOff>28574</xdr:rowOff>
    </xdr:from>
    <xdr:to>
      <xdr:col>5</xdr:col>
      <xdr:colOff>1019175</xdr:colOff>
      <xdr:row>7</xdr:row>
      <xdr:rowOff>57149</xdr:rowOff>
    </xdr:to>
    <xdr:sp macro="" textlink="">
      <xdr:nvSpPr>
        <xdr:cNvPr id="3" name="テキスト ボックス 2">
          <a:extLst>
            <a:ext uri="{FF2B5EF4-FFF2-40B4-BE49-F238E27FC236}">
              <a16:creationId xmlns:a16="http://schemas.microsoft.com/office/drawing/2014/main" id="{DC4A9199-593C-48EB-99EF-5E0CECC6C1BA}"/>
            </a:ext>
          </a:extLst>
        </xdr:cNvPr>
        <xdr:cNvSpPr txBox="1"/>
      </xdr:nvSpPr>
      <xdr:spPr>
        <a:xfrm>
          <a:off x="285750" y="28574"/>
          <a:ext cx="5915025" cy="1362075"/>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74081</xdr:colOff>
      <xdr:row>0</xdr:row>
      <xdr:rowOff>10583</xdr:rowOff>
    </xdr:from>
    <xdr:to>
      <xdr:col>37</xdr:col>
      <xdr:colOff>3817405</xdr:colOff>
      <xdr:row>5</xdr:row>
      <xdr:rowOff>116417</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16609481" y="10583"/>
          <a:ext cx="3743324" cy="105833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37</xdr:col>
      <xdr:colOff>116417</xdr:colOff>
      <xdr:row>7</xdr:row>
      <xdr:rowOff>10583</xdr:rowOff>
    </xdr:from>
    <xdr:to>
      <xdr:col>37</xdr:col>
      <xdr:colOff>3783542</xdr:colOff>
      <xdr:row>24</xdr:row>
      <xdr:rowOff>162983</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6651817" y="1344083"/>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氏名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からの自動引用です。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日にち・曜日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の申請月の入力状況に応じて自動表示されます。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入力方法</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・時間数を入力してください。単位は時間です。ご不明な場合は右上の時間数換算表をご使用ください。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　→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・入力は「数字」のみとし、「文字」は入力しないでください。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例）</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時間　→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1.5</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0</xdr:colOff>
      <xdr:row>0</xdr:row>
      <xdr:rowOff>0</xdr:rowOff>
    </xdr:from>
    <xdr:to>
      <xdr:col>10</xdr:col>
      <xdr:colOff>244798</xdr:colOff>
      <xdr:row>5</xdr:row>
      <xdr:rowOff>152400</xdr:rowOff>
    </xdr:to>
    <xdr:sp macro="" textlink="">
      <xdr:nvSpPr>
        <xdr:cNvPr id="4" name="テキスト ボックス 3">
          <a:extLst>
            <a:ext uri="{FF2B5EF4-FFF2-40B4-BE49-F238E27FC236}">
              <a16:creationId xmlns:a16="http://schemas.microsoft.com/office/drawing/2014/main" id="{F5220AF6-3429-4349-8B7D-0E034ABC69B8}"/>
            </a:ext>
          </a:extLst>
        </xdr:cNvPr>
        <xdr:cNvSpPr txBox="1"/>
      </xdr:nvSpPr>
      <xdr:spPr>
        <a:xfrm>
          <a:off x="0" y="0"/>
          <a:ext cx="4636881"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76200</xdr:colOff>
      <xdr:row>0</xdr:row>
      <xdr:rowOff>0</xdr:rowOff>
    </xdr:from>
    <xdr:to>
      <xdr:col>6</xdr:col>
      <xdr:colOff>3743325</xdr:colOff>
      <xdr:row>5</xdr:row>
      <xdr:rowOff>38100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677025" y="0"/>
          <a:ext cx="3667125"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6</xdr:col>
      <xdr:colOff>76200</xdr:colOff>
      <xdr:row>5</xdr:row>
      <xdr:rowOff>219075</xdr:rowOff>
    </xdr:from>
    <xdr:to>
      <xdr:col>6</xdr:col>
      <xdr:colOff>3743325</xdr:colOff>
      <xdr:row>14</xdr:row>
      <xdr:rowOff>180975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6677025" y="1362075"/>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入力方法</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学級担任は</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常勤専任</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である必要があります。</a:t>
          </a:r>
          <a:endParaRPr kumimoji="1" lang="en-US" altLang="ja-JP" sz="10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・年齢の高いクラス（年長）から記入してください。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・本表と同様の内容が確認できる書類の提出がある場合は、本クラス編成表の提出を省略することができます。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・チーム保育加配加算を受ける場合は、「副担任等の学級担任以外の教員を配置」「少人数の学級編成を行う」小集団化したグループ教育を実施していることが必要です。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・列数や行数は自由に組み替えていただいて構いません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様式に保護は掛けていません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0</xdr:colOff>
      <xdr:row>0</xdr:row>
      <xdr:rowOff>0</xdr:rowOff>
    </xdr:from>
    <xdr:to>
      <xdr:col>4</xdr:col>
      <xdr:colOff>287131</xdr:colOff>
      <xdr:row>4</xdr:row>
      <xdr:rowOff>342900</xdr:rowOff>
    </xdr:to>
    <xdr:sp macro="" textlink="">
      <xdr:nvSpPr>
        <xdr:cNvPr id="4" name="テキスト ボックス 3">
          <a:extLst>
            <a:ext uri="{FF2B5EF4-FFF2-40B4-BE49-F238E27FC236}">
              <a16:creationId xmlns:a16="http://schemas.microsoft.com/office/drawing/2014/main" id="{05618C4B-F41E-4805-BC39-8A79A332B936}"/>
            </a:ext>
          </a:extLst>
        </xdr:cNvPr>
        <xdr:cNvSpPr txBox="1"/>
      </xdr:nvSpPr>
      <xdr:spPr>
        <a:xfrm>
          <a:off x="0" y="0"/>
          <a:ext cx="4636881"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33620</xdr:colOff>
      <xdr:row>0</xdr:row>
      <xdr:rowOff>11206</xdr:rowOff>
    </xdr:from>
    <xdr:to>
      <xdr:col>15</xdr:col>
      <xdr:colOff>3877236</xdr:colOff>
      <xdr:row>12</xdr:row>
      <xdr:rowOff>100854</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12187520" y="11206"/>
          <a:ext cx="3843616" cy="1423148"/>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15</xdr:col>
      <xdr:colOff>30443</xdr:colOff>
      <xdr:row>13</xdr:row>
      <xdr:rowOff>56030</xdr:rowOff>
    </xdr:from>
    <xdr:to>
      <xdr:col>15</xdr:col>
      <xdr:colOff>3702610</xdr:colOff>
      <xdr:row>94</xdr:row>
      <xdr:rowOff>31750</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1153526" y="2532530"/>
          <a:ext cx="3672167" cy="1553322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利用児童状況</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・各月「</a:t>
          </a:r>
          <a:r>
            <a:rPr kumimoji="1" lang="ja-JP" altLang="en-US" sz="1000">
              <a:solidFill>
                <a:srgbClr val="FF0000"/>
              </a:solidFill>
              <a:latin typeface="ＭＳ ゴシック" panose="020B0609070205080204" pitchFamily="49" charset="-128"/>
              <a:ea typeface="ＭＳ ゴシック" panose="020B0609070205080204" pitchFamily="49" charset="-128"/>
            </a:rPr>
            <a:t>初日</a:t>
          </a:r>
          <a:r>
            <a:rPr kumimoji="1" lang="en-US" altLang="ja-JP" sz="1000">
              <a:solidFill>
                <a:srgbClr val="FF0000"/>
              </a:solidFill>
              <a:latin typeface="ＭＳ ゴシック" panose="020B0609070205080204" pitchFamily="49" charset="-128"/>
              <a:ea typeface="ＭＳ ゴシック" panose="020B0609070205080204" pitchFamily="49" charset="-128"/>
            </a:rPr>
            <a:t>(1</a:t>
          </a:r>
          <a:r>
            <a:rPr kumimoji="1" lang="ja-JP" altLang="en-US" sz="1000">
              <a:solidFill>
                <a:srgbClr val="FF0000"/>
              </a:solidFill>
              <a:latin typeface="ＭＳ ゴシック" panose="020B0609070205080204" pitchFamily="49" charset="-128"/>
              <a:ea typeface="ＭＳ ゴシック" panose="020B0609070205080204" pitchFamily="49" charset="-128"/>
            </a:rPr>
            <a:t>日</a:t>
          </a:r>
          <a:r>
            <a:rPr kumimoji="1" lang="en-US" altLang="ja-JP" sz="1000">
              <a:solidFill>
                <a:srgbClr val="FF0000"/>
              </a:solidFill>
              <a:latin typeface="ＭＳ ゴシック" panose="020B0609070205080204" pitchFamily="49" charset="-128"/>
              <a:ea typeface="ＭＳ ゴシック" panose="020B0609070205080204" pitchFamily="49" charset="-128"/>
            </a:rPr>
            <a:t>)</a:t>
          </a:r>
          <a:r>
            <a:rPr kumimoji="1" lang="ja-JP" altLang="en-US" sz="1000">
              <a:solidFill>
                <a:srgbClr val="FF0000"/>
              </a:solidFill>
              <a:latin typeface="ＭＳ ゴシック" panose="020B0609070205080204" pitchFamily="49" charset="-128"/>
              <a:ea typeface="ＭＳ ゴシック" panose="020B0609070205080204" pitchFamily="49" charset="-128"/>
            </a:rPr>
            <a:t>時点</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の在籍状況を記載すること（</a:t>
          </a:r>
          <a:r>
            <a:rPr kumimoji="1" lang="ja-JP" altLang="en-US" sz="1000">
              <a:solidFill>
                <a:srgbClr val="FF0000"/>
              </a:solidFill>
              <a:latin typeface="ＭＳ ゴシック" panose="020B0609070205080204" pitchFamily="49" charset="-128"/>
              <a:ea typeface="ＭＳ ゴシック" panose="020B0609070205080204" pitchFamily="49" charset="-128"/>
            </a:rPr>
            <a:t>月中途入所は記載しない</a:t>
          </a:r>
          <a:r>
            <a:rPr kumimoji="1" lang="ja-JP" altLang="en-US" sz="1000">
              <a:latin typeface="ＭＳ ゴシック" panose="020B0609070205080204" pitchFamily="49" charset="-128"/>
              <a:ea typeface="ＭＳ ゴシック" panose="020B0609070205080204" pitchFamily="49" charset="-128"/>
            </a:rPr>
            <a:t>）</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・年齢は「</a:t>
          </a:r>
          <a:r>
            <a:rPr kumimoji="1" lang="ja-JP" altLang="en-US" sz="1000">
              <a:solidFill>
                <a:srgbClr val="FF0000"/>
              </a:solidFill>
              <a:latin typeface="ＭＳ ゴシック" panose="020B0609070205080204" pitchFamily="49" charset="-128"/>
              <a:ea typeface="ＭＳ ゴシック" panose="020B0609070205080204" pitchFamily="49" charset="-128"/>
            </a:rPr>
            <a:t>クラス年齢</a:t>
          </a:r>
          <a:r>
            <a:rPr kumimoji="1" lang="ja-JP" altLang="en-US" sz="1000">
              <a:latin typeface="ＭＳ ゴシック" panose="020B0609070205080204" pitchFamily="49" charset="-128"/>
              <a:ea typeface="ＭＳ ゴシック" panose="020B0609070205080204" pitchFamily="49" charset="-128"/>
            </a:rPr>
            <a:t>」となります。なお、満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号児童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のみクラス年齢ではないことに留意すること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号児童は保育必要量別（標準時間</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短時間）で記載すること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・札幌市内児童と札幌市外児童を分けて記載すること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職員配置は市内＋市外児童の合計数で算出</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加算・減算・補助金等</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　以下の構成となっており、それぞれ担当分を入力すること。なお、公定価格と補助金の担当者は重複できないため留意すること。また、補助金で挙げた担当者の人件費をそれぞれの補助金申請で計上すること。</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上段：公定価格に係る基本配置・加算・減算</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下段：補助金等</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①　項目</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基本配置や加算・減算の項目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②　担当</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・職種</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配置すべき職種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・配置者</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条件</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申請状況が「○」「△」の場合は、配置条件が表示又は担当者名を選択する必要がある場合は「担当者名」欄に色が付く　</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担当者名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色がついている場合のみ、「項目」及び「職種」に応じた担当職員をドロップダウンから選択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勤務時間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「担当者名」で選択した職員の勤務時間が表示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確認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「担当者名」で選択した職員に応じて下記が表示。「○」以外は見直しが必要</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○：問題なし</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要常勤：常勤を選ぶべきところ非常勤を選択しているエラー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時間無：勤務時間</a:t>
          </a:r>
          <a:r>
            <a:rPr kumimoji="1" lang="en-US" altLang="ja-JP" sz="1000">
              <a:latin typeface="ＭＳ ゴシック" panose="020B0609070205080204" pitchFamily="49" charset="-128"/>
              <a:ea typeface="ＭＳ ゴシック" panose="020B0609070205080204" pitchFamily="49" charset="-128"/>
            </a:rPr>
            <a:t>0</a:t>
          </a:r>
          <a:r>
            <a:rPr kumimoji="1" lang="ja-JP" altLang="en-US" sz="1000">
              <a:latin typeface="ＭＳ ゴシック" panose="020B0609070205080204" pitchFamily="49" charset="-128"/>
              <a:ea typeface="ＭＳ ゴシック" panose="020B0609070205080204" pitchFamily="49" charset="-128"/>
            </a:rPr>
            <a:t>時間の職員を選択しているエラー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重複：他の基本配置、加算で既に選択しているエラー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名簿無：様式</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にいない職員を選択しているエラー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対象外：要件を満たさない職員を選択しているエラー</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担当時間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担当時間を分けることができる場合は色が付く。その際、担当時間を入力すると入力時間に応じた常勤換算数が別途算出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・常勤換算数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配置者に入力した状況に応じて常勤換算数が表示。下限設定がある場合は「調整」と表示されたうえで、調整後の常勤換算数が表示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全計上：勤務時間＝担当時間</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調整①：非常勤職員の下限（</a:t>
          </a:r>
          <a:r>
            <a:rPr kumimoji="1" lang="en-US" altLang="ja-JP" sz="1000">
              <a:latin typeface="ＭＳ ゴシック" panose="020B0609070205080204" pitchFamily="49" charset="-128"/>
              <a:ea typeface="ＭＳ ゴシック" panose="020B0609070205080204" pitchFamily="49" charset="-128"/>
            </a:rPr>
            <a:t>0.5</a:t>
          </a:r>
          <a:r>
            <a:rPr kumimoji="1" lang="ja-JP" altLang="en-US" sz="1000">
              <a:latin typeface="ＭＳ ゴシック" panose="020B0609070205080204" pitchFamily="49" charset="-128"/>
              <a:ea typeface="ＭＳ ゴシック" panose="020B0609070205080204" pitchFamily="49" charset="-128"/>
            </a:rPr>
            <a:t>人</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月）。ただし、</a:t>
          </a:r>
          <a:r>
            <a:rPr kumimoji="1" lang="en-US" altLang="ja-JP" sz="1000">
              <a:latin typeface="ＭＳ ゴシック" panose="020B0609070205080204" pitchFamily="49" charset="-128"/>
              <a:ea typeface="ＭＳ ゴシック" panose="020B0609070205080204" pitchFamily="49" charset="-128"/>
            </a:rPr>
            <a:t>2021</a:t>
          </a:r>
          <a:r>
            <a:rPr kumimoji="1" lang="ja-JP" altLang="en-US" sz="1000">
              <a:latin typeface="ＭＳ ゴシック" panose="020B0609070205080204" pitchFamily="49" charset="-128"/>
              <a:ea typeface="ＭＳ ゴシック" panose="020B0609070205080204" pitchFamily="49" charset="-128"/>
            </a:rPr>
            <a:t>年度は下限設定なし</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エラー：担当時間＞勤務時間となっているか、担当時間に数値以外が入力されているため見直すこと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③　判定（取得数）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・申請状況</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－各個票の入力状況に応じて申請状況を表示。申請が無い加算は取得できない。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申請あり：○又は△</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申請なし；</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・判定</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基本配置や加算</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減算の判定結果が表示。</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○：加算取得</a:t>
          </a:r>
          <a:r>
            <a:rPr kumimoji="1" lang="en-US" altLang="ja-JP" sz="1000">
              <a:latin typeface="ＭＳ ゴシック" panose="020B0609070205080204" pitchFamily="49" charset="-128"/>
              <a:ea typeface="ＭＳ ゴシック" panose="020B0609070205080204" pitchFamily="49" charset="-128"/>
            </a:rPr>
            <a:t>OK</a:t>
          </a: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：加算要件等が満たされていない又は入力状況に誤りがあるため見直すこと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－：未申請</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数値：加算や減算の取得（配置）数が表記</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b="1">
              <a:solidFill>
                <a:srgbClr val="FF0000"/>
              </a:solidFill>
              <a:latin typeface="ＭＳ ゴシック" panose="020B0609070205080204" pitchFamily="49" charset="-128"/>
              <a:ea typeface="ＭＳ ゴシック" panose="020B0609070205080204" pitchFamily="49" charset="-128"/>
            </a:rPr>
            <a:t>＜注意＞</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・公定価格と補助金の担当者は重複できないため留意</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補助金で挙げた担当者の人件費をそれぞれの補助金申請で計上することを原則とし、その他配置ルール等は各補助金の規定に従うこと。なお、当該様式に表示されている常勤換算数は予定勤務時間であるため、各補助金計上時は実際時間数又は経費を計上すること。</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配置数</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様式</a:t>
          </a:r>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より自動引用。</a:t>
          </a:r>
          <a:endParaRPr lang="en-US"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a:t>
          </a:r>
          <a:endParaRPr lang="en-US"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必要職員数</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数</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公定価格上の基本配置や加算に必要な職員数を算出し、実際の配置数と比較し過不足を確認</a:t>
          </a:r>
          <a:endParaRPr lang="ja-JP" altLang="ja-JP" sz="1000" b="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①　項目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職種ごとの基本配置や加算</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必要数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留意事項に定められた必要数を自動算出</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③　配置数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前述の配置数より自動引用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④　配置数</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必要数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‐③</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の結果を表示。マイナスになる場合、充足されていないため見直しが必要であり、見直し後もマイナスの場合は指導監査の指導対象となりえる</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0</xdr:row>
      <xdr:rowOff>0</xdr:rowOff>
    </xdr:from>
    <xdr:to>
      <xdr:col>5</xdr:col>
      <xdr:colOff>562298</xdr:colOff>
      <xdr:row>5</xdr:row>
      <xdr:rowOff>152400</xdr:rowOff>
    </xdr:to>
    <xdr:sp macro="" textlink="">
      <xdr:nvSpPr>
        <xdr:cNvPr id="3" name="テキスト ボックス 2">
          <a:extLst>
            <a:ext uri="{FF2B5EF4-FFF2-40B4-BE49-F238E27FC236}">
              <a16:creationId xmlns:a16="http://schemas.microsoft.com/office/drawing/2014/main" id="{26233CA1-3FA6-46B0-BE70-97D7295EB4AA}"/>
            </a:ext>
          </a:extLst>
        </xdr:cNvPr>
        <xdr:cNvSpPr txBox="1"/>
      </xdr:nvSpPr>
      <xdr:spPr>
        <a:xfrm>
          <a:off x="0" y="0"/>
          <a:ext cx="4636881"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39</xdr:col>
      <xdr:colOff>54428</xdr:colOff>
      <xdr:row>0</xdr:row>
      <xdr:rowOff>0</xdr:rowOff>
    </xdr:from>
    <xdr:to>
      <xdr:col>39</xdr:col>
      <xdr:colOff>3797752</xdr:colOff>
      <xdr:row>2</xdr:row>
      <xdr:rowOff>174171</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a:off x="17906999" y="0"/>
          <a:ext cx="3743324"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0</xdr:col>
      <xdr:colOff>0</xdr:colOff>
      <xdr:row>0</xdr:row>
      <xdr:rowOff>0</xdr:rowOff>
    </xdr:from>
    <xdr:to>
      <xdr:col>10</xdr:col>
      <xdr:colOff>297714</xdr:colOff>
      <xdr:row>4</xdr:row>
      <xdr:rowOff>88900</xdr:rowOff>
    </xdr:to>
    <xdr:sp macro="" textlink="">
      <xdr:nvSpPr>
        <xdr:cNvPr id="2" name="テキスト ボックス 1">
          <a:extLst>
            <a:ext uri="{FF2B5EF4-FFF2-40B4-BE49-F238E27FC236}">
              <a16:creationId xmlns:a16="http://schemas.microsoft.com/office/drawing/2014/main" id="{A7F1C267-7021-402C-BA96-E26764CDADCF}"/>
            </a:ext>
          </a:extLst>
        </xdr:cNvPr>
        <xdr:cNvSpPr txBox="1"/>
      </xdr:nvSpPr>
      <xdr:spPr>
        <a:xfrm>
          <a:off x="0" y="0"/>
          <a:ext cx="4636881" cy="1104900"/>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390524</xdr:colOff>
      <xdr:row>4</xdr:row>
      <xdr:rowOff>22224</xdr:rowOff>
    </xdr:from>
    <xdr:to>
      <xdr:col>14</xdr:col>
      <xdr:colOff>571499</xdr:colOff>
      <xdr:row>14</xdr:row>
      <xdr:rowOff>79374</xdr:rowOff>
    </xdr:to>
    <xdr:sp macro="" textlink="">
      <xdr:nvSpPr>
        <xdr:cNvPr id="2" name="左矢印吹き出し 1">
          <a:extLst>
            <a:ext uri="{FF2B5EF4-FFF2-40B4-BE49-F238E27FC236}">
              <a16:creationId xmlns:a16="http://schemas.microsoft.com/office/drawing/2014/main" id="{00000000-0008-0000-0100-000002000000}"/>
            </a:ext>
          </a:extLst>
        </xdr:cNvPr>
        <xdr:cNvSpPr/>
      </xdr:nvSpPr>
      <xdr:spPr>
        <a:xfrm>
          <a:off x="9305924" y="1050924"/>
          <a:ext cx="1552575" cy="1676400"/>
        </a:xfrm>
        <a:prstGeom prst="left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不足している場合、「西暦</a:t>
          </a:r>
          <a:r>
            <a:rPr kumimoji="1" lang="en-US" altLang="ja-JP" sz="1100">
              <a:solidFill>
                <a:sysClr val="windowText" lastClr="000000"/>
              </a:solidFill>
            </a:rPr>
            <a:t>/</a:t>
          </a:r>
          <a:r>
            <a:rPr kumimoji="1" lang="ja-JP" altLang="en-US" sz="1100">
              <a:solidFill>
                <a:sysClr val="windowText" lastClr="000000"/>
              </a:solidFill>
            </a:rPr>
            <a:t>月</a:t>
          </a:r>
          <a:r>
            <a:rPr kumimoji="1" lang="en-US" altLang="ja-JP" sz="1100">
              <a:solidFill>
                <a:sysClr val="windowText" lastClr="000000"/>
              </a:solidFill>
            </a:rPr>
            <a:t>/</a:t>
          </a:r>
          <a:r>
            <a:rPr kumimoji="1" lang="ja-JP" altLang="en-US" sz="1100">
              <a:solidFill>
                <a:sysClr val="windowText" lastClr="000000"/>
              </a:solidFill>
            </a:rPr>
            <a:t>日」の形式で追加してください。</a:t>
          </a:r>
        </a:p>
      </xdr:txBody>
    </xdr:sp>
    <xdr:clientData/>
  </xdr:twoCellAnchor>
  <xdr:twoCellAnchor>
    <xdr:from>
      <xdr:col>12</xdr:col>
      <xdr:colOff>400050</xdr:colOff>
      <xdr:row>17</xdr:row>
      <xdr:rowOff>47625</xdr:rowOff>
    </xdr:from>
    <xdr:to>
      <xdr:col>14</xdr:col>
      <xdr:colOff>561975</xdr:colOff>
      <xdr:row>27</xdr:row>
      <xdr:rowOff>114300</xdr:rowOff>
    </xdr:to>
    <xdr:sp macro="" textlink="">
      <xdr:nvSpPr>
        <xdr:cNvPr id="3" name="左矢印吹き出し 2">
          <a:extLst>
            <a:ext uri="{FF2B5EF4-FFF2-40B4-BE49-F238E27FC236}">
              <a16:creationId xmlns:a16="http://schemas.microsoft.com/office/drawing/2014/main" id="{00000000-0008-0000-0100-000003000000}"/>
            </a:ext>
          </a:extLst>
        </xdr:cNvPr>
        <xdr:cNvSpPr/>
      </xdr:nvSpPr>
      <xdr:spPr>
        <a:xfrm>
          <a:off x="9315450" y="3181350"/>
          <a:ext cx="1533525" cy="1685925"/>
        </a:xfrm>
        <a:prstGeom prst="left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ysClr val="windowText" lastClr="000000"/>
              </a:solidFill>
            </a:rPr>
            <a:t>12/29</a:t>
          </a:r>
          <a:r>
            <a:rPr kumimoji="1" lang="ja-JP" altLang="en-US" sz="1100">
              <a:solidFill>
                <a:sysClr val="windowText" lastClr="000000"/>
              </a:solidFill>
            </a:rPr>
            <a:t>～</a:t>
          </a:r>
          <a:r>
            <a:rPr kumimoji="1" lang="en-US" altLang="ja-JP" sz="1100">
              <a:solidFill>
                <a:sysClr val="windowText" lastClr="000000"/>
              </a:solidFill>
            </a:rPr>
            <a:t>1/3</a:t>
          </a:r>
          <a:r>
            <a:rPr kumimoji="1" lang="ja-JP" altLang="en-US" sz="1100">
              <a:solidFill>
                <a:sysClr val="windowText" lastClr="000000"/>
              </a:solidFill>
            </a:rPr>
            <a:t>のうち、土曜日がある場合は入力すること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66675</xdr:colOff>
      <xdr:row>38</xdr:row>
      <xdr:rowOff>57150</xdr:rowOff>
    </xdr:from>
    <xdr:to>
      <xdr:col>11</xdr:col>
      <xdr:colOff>85725</xdr:colOff>
      <xdr:row>47</xdr:row>
      <xdr:rowOff>0</xdr:rowOff>
    </xdr:to>
    <xdr:sp macro="" textlink="">
      <xdr:nvSpPr>
        <xdr:cNvPr id="2" name="吹き出し: 四角形 1">
          <a:extLst>
            <a:ext uri="{FF2B5EF4-FFF2-40B4-BE49-F238E27FC236}">
              <a16:creationId xmlns:a16="http://schemas.microsoft.com/office/drawing/2014/main" id="{2A4425F2-7E91-4353-829D-8801EAFB5C9A}"/>
            </a:ext>
          </a:extLst>
        </xdr:cNvPr>
        <xdr:cNvSpPr/>
      </xdr:nvSpPr>
      <xdr:spPr>
        <a:xfrm>
          <a:off x="12392025" y="7058025"/>
          <a:ext cx="3162300" cy="1485900"/>
        </a:xfrm>
        <a:prstGeom prst="wedgeRectCallout">
          <a:avLst>
            <a:gd name="adj1" fmla="val -26994"/>
            <a:gd name="adj2" fmla="val -777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療育支援加算、</a:t>
          </a:r>
          <a:endParaRPr kumimoji="1" lang="en-US" altLang="ja-JP" sz="1100"/>
        </a:p>
        <a:p>
          <a:pPr algn="l"/>
          <a:r>
            <a:rPr kumimoji="1" lang="ja-JP" altLang="en-US" sz="1100" b="1" i="0" u="none" strike="noStrike">
              <a:solidFill>
                <a:schemeClr val="lt1"/>
              </a:solidFill>
              <a:effectLst/>
              <a:latin typeface="+mn-lt"/>
              <a:ea typeface="+mn-ea"/>
              <a:cs typeface="+mn-cs"/>
            </a:rPr>
            <a:t>＝</a:t>
          </a:r>
          <a:r>
            <a:rPr kumimoji="1" lang="en-US" altLang="ja-JP" sz="1100" b="1" i="0" u="none" strike="noStrike">
              <a:solidFill>
                <a:schemeClr val="lt1"/>
              </a:solidFill>
              <a:effectLst/>
              <a:latin typeface="+mn-lt"/>
              <a:ea typeface="+mn-ea"/>
              <a:cs typeface="+mn-cs"/>
            </a:rPr>
            <a:t>G24</a:t>
          </a:r>
        </a:p>
        <a:p>
          <a:pPr algn="l"/>
          <a:r>
            <a:rPr kumimoji="1" lang="ja-JP" altLang="en-US" sz="1100" b="1" i="0" u="none" strike="noStrike">
              <a:solidFill>
                <a:schemeClr val="lt1"/>
              </a:solidFill>
              <a:effectLst/>
              <a:latin typeface="+mn-lt"/>
              <a:ea typeface="+mn-ea"/>
              <a:cs typeface="+mn-cs"/>
            </a:rPr>
            <a:t>→</a:t>
          </a:r>
          <a:r>
            <a:rPr kumimoji="1" lang="en-US" altLang="ja-JP" sz="1100" b="1" i="0" u="none" strike="noStrike">
              <a:solidFill>
                <a:schemeClr val="lt1"/>
              </a:solidFill>
              <a:effectLst/>
              <a:latin typeface="+mn-lt"/>
              <a:ea typeface="+mn-ea"/>
              <a:cs typeface="+mn-cs"/>
            </a:rPr>
            <a:t>=IF(OR(G24="</a:t>
          </a:r>
          <a:r>
            <a:rPr kumimoji="1" lang="ja-JP" altLang="en-US" sz="1100" b="1" i="0" u="none" strike="noStrike">
              <a:solidFill>
                <a:schemeClr val="lt1"/>
              </a:solidFill>
              <a:effectLst/>
              <a:latin typeface="+mn-lt"/>
              <a:ea typeface="+mn-ea"/>
              <a:cs typeface="+mn-cs"/>
            </a:rPr>
            <a:t>特児</a:t>
          </a:r>
          <a:r>
            <a:rPr kumimoji="1" lang="en-US" altLang="ja-JP" sz="1100" b="1" i="0" u="none" strike="noStrike">
              <a:solidFill>
                <a:schemeClr val="lt1"/>
              </a:solidFill>
              <a:effectLst/>
              <a:latin typeface="+mn-lt"/>
              <a:ea typeface="+mn-ea"/>
              <a:cs typeface="+mn-cs"/>
            </a:rPr>
            <a:t>",G24="</a:t>
          </a:r>
          <a:r>
            <a:rPr kumimoji="1" lang="ja-JP" altLang="en-US" sz="1100" b="1" i="0" u="none" strike="noStrike">
              <a:solidFill>
                <a:schemeClr val="lt1"/>
              </a:solidFill>
              <a:effectLst/>
              <a:latin typeface="+mn-lt"/>
              <a:ea typeface="+mn-ea"/>
              <a:cs typeface="+mn-cs"/>
            </a:rPr>
            <a:t>その他</a:t>
          </a:r>
          <a:r>
            <a:rPr kumimoji="1" lang="en-US" altLang="ja-JP" sz="1100" b="1" i="0" u="none" strike="noStrike">
              <a:solidFill>
                <a:schemeClr val="lt1"/>
              </a:solidFill>
              <a:effectLst/>
              <a:latin typeface="+mn-lt"/>
              <a:ea typeface="+mn-ea"/>
              <a:cs typeface="+mn-cs"/>
            </a:rPr>
            <a:t>"),"○","×")</a:t>
          </a:r>
        </a:p>
        <a:p>
          <a:pPr algn="l"/>
          <a:endParaRPr kumimoji="0" lang="en-US" altLang="ja-JP" sz="1100" b="1" i="0" u="none" strike="noStrike">
            <a:solidFill>
              <a:schemeClr val="lt1"/>
            </a:solidFill>
            <a:effectLst/>
            <a:latin typeface="+mn-lt"/>
            <a:ea typeface="+mn-ea"/>
            <a:cs typeface="+mn-cs"/>
          </a:endParaRPr>
        </a:p>
        <a:p>
          <a:pPr algn="l"/>
          <a:r>
            <a:rPr kumimoji="0" lang="ja-JP" altLang="en-US" sz="1100" b="1" i="0" u="none" strike="noStrike">
              <a:solidFill>
                <a:schemeClr val="lt1"/>
              </a:solidFill>
              <a:effectLst/>
              <a:latin typeface="+mn-lt"/>
              <a:ea typeface="+mn-ea"/>
              <a:cs typeface="+mn-cs"/>
            </a:rPr>
            <a:t>休日保育加算の数式変更。</a:t>
          </a:r>
          <a:endParaRPr kumimoji="0" lang="en-US" altLang="ja-JP" sz="1100" b="1" i="0" u="none" strike="noStrike">
            <a:solidFill>
              <a:schemeClr val="lt1"/>
            </a:solidFill>
            <a:effectLst/>
            <a:latin typeface="+mn-lt"/>
            <a:ea typeface="+mn-ea"/>
            <a:cs typeface="+mn-cs"/>
          </a:endParaRPr>
        </a:p>
        <a:p>
          <a:pPr algn="l"/>
          <a:r>
            <a:rPr kumimoji="0" lang="ja-JP" altLang="en-US" sz="1100" b="1" i="0" u="none" strike="noStrike">
              <a:solidFill>
                <a:schemeClr val="lt1"/>
              </a:solidFill>
              <a:effectLst/>
              <a:latin typeface="+mn-lt"/>
              <a:ea typeface="+mn-ea"/>
              <a:cs typeface="+mn-cs"/>
            </a:rPr>
            <a:t>＝</a:t>
          </a:r>
          <a:r>
            <a:rPr kumimoji="0" lang="en-US" altLang="ja-JP" sz="1100" b="1" i="0" u="none" strike="noStrike">
              <a:solidFill>
                <a:schemeClr val="lt1"/>
              </a:solidFill>
              <a:effectLst/>
              <a:latin typeface="+mn-lt"/>
              <a:ea typeface="+mn-ea"/>
              <a:cs typeface="+mn-cs"/>
            </a:rPr>
            <a:t>G19</a:t>
          </a:r>
        </a:p>
        <a:p>
          <a:pPr algn="l"/>
          <a:r>
            <a:rPr kumimoji="1" lang="ja-JP" altLang="en-US" sz="1100"/>
            <a:t>→</a:t>
          </a:r>
          <a:r>
            <a:rPr kumimoji="1" lang="en-US" altLang="ja-JP" sz="1100"/>
            <a:t>=IF(G19="×","×","○")</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38100</xdr:colOff>
      <xdr:row>0</xdr:row>
      <xdr:rowOff>0</xdr:rowOff>
    </xdr:from>
    <xdr:to>
      <xdr:col>33</xdr:col>
      <xdr:colOff>3781424</xdr:colOff>
      <xdr:row>5</xdr:row>
      <xdr:rowOff>177962</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7362825" y="0"/>
          <a:ext cx="3743324" cy="110188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33</xdr:col>
      <xdr:colOff>57148</xdr:colOff>
      <xdr:row>6</xdr:row>
      <xdr:rowOff>66675</xdr:rowOff>
    </xdr:from>
    <xdr:to>
      <xdr:col>33</xdr:col>
      <xdr:colOff>3762373</xdr:colOff>
      <xdr:row>52</xdr:row>
      <xdr:rowOff>104069</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7381873" y="1371600"/>
          <a:ext cx="3705225" cy="756214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法人名・代表者名</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運営二係に登録した債権者と同一としてください。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申請月</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申請月をドロップダウンから選択してください。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所在区・施設名</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所在区→施設名の順に選択してください。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所在地</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施設所在地を記載してください。</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利用定員</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前述の施設名を入れると自動出力。年度内途中で利用定員を変更した場合のみ、上書き修正すること</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判定</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個票を入力すると判定結果が表示されます。申請・取得したい加算が正しく表示されているかを確認したうえで提出してください。誤ったまま提出した場合は加算が取得できません。</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「土曜日に閉所する場合」については、備考欄に前月分の実績が表示されます。実績で変更があった場合、遡及変更申請扱いとなります。</a:t>
          </a:r>
          <a:endParaRPr kumimoji="1" lang="en-US" altLang="ja-JP" sz="1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加算適用開始（変更）月</a:t>
          </a:r>
          <a:r>
            <a:rPr kumimoji="1" lang="en-US" altLang="ja-JP" sz="10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加算を取得開始または変更した月を入力。</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例１）</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月分作成時：処遇改善等加算を</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月から取得</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月から継続中のため「</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月」を選択</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例２）</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月分作成時：栄養管理加算</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月～兼務／</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月～配置</a:t>
          </a:r>
          <a:endPar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　</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月から変更のため「</a:t>
          </a:r>
          <a:r>
            <a:rPr kumimoji="1" lang="en-US" altLang="ja-JP"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0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月」を選択</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64</xdr:row>
      <xdr:rowOff>190499</xdr:rowOff>
    </xdr:from>
    <xdr:to>
      <xdr:col>33</xdr:col>
      <xdr:colOff>3695700</xdr:colOff>
      <xdr:row>106</xdr:row>
      <xdr:rowOff>15102</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7362825" y="10925174"/>
          <a:ext cx="3657600" cy="919720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基本配置職員</a:t>
          </a:r>
          <a:r>
            <a:rPr kumimoji="1" lang="en-US" altLang="ja-JP" sz="1000" b="1">
              <a:latin typeface="ＭＳ ゴシック" panose="020B0609070205080204" pitchFamily="49" charset="-128"/>
              <a:ea typeface="ＭＳ ゴシック" panose="020B0609070205080204" pitchFamily="49" charset="-128"/>
            </a:rPr>
            <a:t>】</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をすべて入力すること。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は①～③のうち一つずつ選択してください。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・分園のみ</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を選択すること。</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について、</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号部分の代替教員数を算出するため、</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日当たりの教育時間と常勤職員の勤務時間数</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月を入力してください。</a:t>
          </a:r>
        </a:p>
        <a:p>
          <a:pPr algn="l"/>
          <a:r>
            <a:rPr kumimoji="1" lang="ja-JP" altLang="en-US" sz="1000">
              <a:latin typeface="ＭＳ ゴシック" panose="020B0609070205080204" pitchFamily="49" charset="-128"/>
              <a:ea typeface="ＭＳ ゴシック" panose="020B0609070205080204" pitchFamily="49" charset="-128"/>
            </a:rPr>
            <a:t>・基本配置は公定価格の基本単価に含まれている費用です。必ず満たすように配置してください</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満たさない配置はできません</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必要</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処遇改善等加算</a:t>
          </a:r>
          <a:r>
            <a:rPr kumimoji="1" lang="en-US" altLang="ja-JP" sz="1000" b="1">
              <a:latin typeface="ＭＳ ゴシック" panose="020B0609070205080204" pitchFamily="49" charset="-128"/>
              <a:ea typeface="ＭＳ ゴシック" panose="020B0609070205080204" pitchFamily="49" charset="-128"/>
            </a:rPr>
            <a:t>Ⅰ】</a:t>
          </a:r>
        </a:p>
        <a:p>
          <a:pPr algn="l"/>
          <a:r>
            <a:rPr kumimoji="1" lang="ja-JP" altLang="en-US" sz="1000">
              <a:latin typeface="ＭＳ ゴシック" panose="020B0609070205080204" pitchFamily="49" charset="-128"/>
              <a:ea typeface="ＭＳ ゴシック" panose="020B0609070205080204" pitchFamily="49" charset="-128"/>
            </a:rPr>
            <a:t>・申請する場合は「申請する」を選択してください。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副園長・教頭配置加算</a:t>
          </a:r>
          <a:r>
            <a:rPr kumimoji="1" lang="en-US" altLang="ja-JP" sz="1000" b="1">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の全ての要件を満たす場合加算</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：副園長・教頭の役職を設けている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の発令を行っている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：常勤職員である</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：園長</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副園長（教頭）を配置</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：他の学園の園長と兼務していない。兼務している場合は、申請施設が「本務」であること。</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なお、園長が「兼務」である場合は、園長を補佐する</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保育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教諭</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名が追加で必要です。これは様式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の職員配置状況で確認します。</a:t>
          </a: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110</xdr:row>
      <xdr:rowOff>1</xdr:rowOff>
    </xdr:from>
    <xdr:to>
      <xdr:col>33</xdr:col>
      <xdr:colOff>3705225</xdr:colOff>
      <xdr:row>178</xdr:row>
      <xdr:rowOff>123826</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362825" y="20993101"/>
          <a:ext cx="3667125" cy="88773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学級編成調整加配加算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・申請する場合は「申請する」を選択してください。</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の全ての要件を満たす場合加算</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：定員要件</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：職員配置の確認</a:t>
          </a:r>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様式</a:t>
          </a:r>
          <a:r>
            <a:rPr kumimoji="1" lang="en-US" altLang="ja-JP" sz="1000" b="0">
              <a:latin typeface="ＭＳ ゴシック" panose="020B0609070205080204" pitchFamily="49" charset="-128"/>
              <a:ea typeface="ＭＳ ゴシック" panose="020B0609070205080204" pitchFamily="49" charset="-128"/>
            </a:rPr>
            <a:t>5</a:t>
          </a:r>
          <a:r>
            <a:rPr kumimoji="1" lang="ja-JP" altLang="en-US" sz="1000" b="0">
              <a:latin typeface="ＭＳ ゴシック" panose="020B0609070205080204" pitchFamily="49" charset="-128"/>
              <a:ea typeface="ＭＳ ゴシック" panose="020B0609070205080204" pitchFamily="49" charset="-128"/>
            </a:rPr>
            <a:t>で確認</a:t>
          </a:r>
          <a:r>
            <a:rPr kumimoji="1" lang="en-US" altLang="ja-JP" sz="1000" b="0">
              <a:latin typeface="ＭＳ ゴシック" panose="020B0609070205080204" pitchFamily="49" charset="-128"/>
              <a:ea typeface="ＭＳ ゴシック" panose="020B0609070205080204" pitchFamily="49" charset="-128"/>
            </a:rPr>
            <a:t>)</a:t>
          </a:r>
        </a:p>
        <a:p>
          <a:pPr algn="l"/>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【3</a:t>
          </a:r>
          <a:r>
            <a:rPr kumimoji="1" lang="ja-JP" altLang="en-US" sz="1000" b="1">
              <a:latin typeface="ＭＳ ゴシック" panose="020B0609070205080204" pitchFamily="49" charset="-128"/>
              <a:ea typeface="ＭＳ ゴシック" panose="020B0609070205080204" pitchFamily="49" charset="-128"/>
            </a:rPr>
            <a:t>歳児配置改善加算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で職員配置の充足を確認します。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満</a:t>
          </a:r>
          <a:r>
            <a:rPr kumimoji="1" lang="en-US" altLang="ja-JP" sz="1000" b="1">
              <a:latin typeface="ＭＳ ゴシック" panose="020B0609070205080204" pitchFamily="49" charset="-128"/>
              <a:ea typeface="ＭＳ ゴシック" panose="020B0609070205080204" pitchFamily="49" charset="-128"/>
            </a:rPr>
            <a:t>3</a:t>
          </a:r>
          <a:r>
            <a:rPr kumimoji="1" lang="ja-JP" altLang="en-US" sz="1000" b="1">
              <a:latin typeface="ＭＳ ゴシック" panose="020B0609070205080204" pitchFamily="49" charset="-128"/>
              <a:ea typeface="ＭＳ ゴシック" panose="020B0609070205080204" pitchFamily="49" charset="-128"/>
            </a:rPr>
            <a:t>歳児配置改善加算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で職員配置の充足を確認します。</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講師配置加算</a:t>
          </a:r>
          <a:r>
            <a:rPr kumimoji="1" lang="en-US" altLang="ja-JP" sz="1000" b="1">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の全ての要件を満たす場合加算</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：定員要件</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：職員配置を充足したうえで、余剰に教員を配置していること</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非常勤教諭以上を配置</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なお、ここで定義される非常勤講師とは非常勤の教員で、幼稚園免許を有している必要があります</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保育士資格のみは不可</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：有効な幼稚園教諭免許の保有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更新期間切れは不可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：発令</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発令無は不可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チーム保育加配加算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他の公費重複</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加算、補助金等</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グループ教育の有無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申請人数は、様式</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及び様式</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を入力した後で選択できるようになりますのでご注意ください。</a:t>
          </a:r>
          <a:endPar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通園送迎</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b="1">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加算要件：別紙４で通園送迎を行っているかを確認</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なお、加算は送迎サービスを始めた月から認定します。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182</xdr:row>
      <xdr:rowOff>0</xdr:rowOff>
    </xdr:from>
    <xdr:to>
      <xdr:col>33</xdr:col>
      <xdr:colOff>3705225</xdr:colOff>
      <xdr:row>214</xdr:row>
      <xdr:rowOff>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7362825" y="30165675"/>
          <a:ext cx="3667125" cy="76771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給食実施加算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号認定児童</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に係る加算です。</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号に実施する給食実施日数や提供状況を含めないでください。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をすべて入力する場合加算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：実施開始月の選択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実施開始月から加算が認定されます。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：加算区分の選択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加算区分は以下の</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種類です。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調理～施設内調理設備を使用してきめ細かに調理を実施</a:t>
          </a:r>
        </a:p>
        <a:p>
          <a:pPr algn="l"/>
          <a:r>
            <a:rPr kumimoji="1" lang="ja-JP" altLang="en-US" sz="1000">
              <a:latin typeface="ＭＳ ゴシック" panose="020B0609070205080204" pitchFamily="49" charset="-128"/>
              <a:ea typeface="ＭＳ ゴシック" panose="020B0609070205080204" pitchFamily="49" charset="-128"/>
            </a:rPr>
            <a:t>　搬入～外部搬入</a:t>
          </a:r>
        </a:p>
        <a:p>
          <a:pPr algn="l"/>
          <a:r>
            <a:rPr kumimoji="1" lang="ja-JP" altLang="en-US" sz="1000">
              <a:latin typeface="ＭＳ ゴシック" panose="020B0609070205080204" pitchFamily="49" charset="-128"/>
              <a:ea typeface="ＭＳ ゴシック" panose="020B0609070205080204" pitchFamily="49" charset="-128"/>
            </a:rPr>
            <a:t>↓　各選択肢の説明</a:t>
          </a:r>
        </a:p>
        <a:p>
          <a:pPr algn="l"/>
          <a:r>
            <a:rPr kumimoji="1" lang="ja-JP" altLang="en-US" sz="1000">
              <a:latin typeface="ＭＳ ゴシック" panose="020B0609070205080204" pitchFamily="49" charset="-128"/>
              <a:ea typeface="ＭＳ ゴシック" panose="020B0609070205080204" pitchFamily="49" charset="-128"/>
            </a:rPr>
            <a:t>①－ア</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調理を施設内設備で行っているかを確認</a:t>
          </a:r>
        </a:p>
        <a:p>
          <a:pPr algn="l"/>
          <a:r>
            <a:rPr kumimoji="1" lang="ja-JP" altLang="en-US" sz="1000">
              <a:latin typeface="ＭＳ ゴシック" panose="020B0609070205080204" pitchFamily="49" charset="-128"/>
              <a:ea typeface="ＭＳ ゴシック" panose="020B0609070205080204" pitchFamily="49" charset="-128"/>
            </a:rPr>
            <a:t>①－イ</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は例外的に外部委託調理員が派遣され、自園の調理設備で加工を行う場合を想定</a:t>
          </a:r>
        </a:p>
        <a:p>
          <a:pPr algn="l"/>
          <a:r>
            <a:rPr kumimoji="1" lang="ja-JP" altLang="en-US" sz="1000">
              <a:latin typeface="ＭＳ ゴシック" panose="020B0609070205080204" pitchFamily="49" charset="-128"/>
              <a:ea typeface="ＭＳ ゴシック" panose="020B0609070205080204" pitchFamily="49" charset="-128"/>
            </a:rPr>
            <a:t>①－ウ</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調理員が自園の調理設備できめ細やかに調理を行っているかを確認</a:t>
          </a:r>
        </a:p>
        <a:p>
          <a:pPr algn="l"/>
          <a:r>
            <a:rPr kumimoji="1" lang="ja-JP" altLang="en-US" sz="1000">
              <a:latin typeface="ＭＳ ゴシック" panose="020B0609070205080204" pitchFamily="49" charset="-128"/>
              <a:ea typeface="ＭＳ ゴシック" panose="020B0609070205080204" pitchFamily="49" charset="-128"/>
            </a:rPr>
            <a:t>②</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外部搬入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外部搬入し、自園の調理施設で加熱だけを行う等も含む</a:t>
          </a:r>
          <a:r>
            <a:rPr kumimoji="1" lang="en-US" altLang="ja-JP" sz="1000">
              <a:latin typeface="ＭＳ ゴシック" panose="020B0609070205080204" pitchFamily="49" charset="-128"/>
              <a:ea typeface="ＭＳ ゴシック" panose="020B0609070205080204" pitchFamily="49" charset="-128"/>
            </a:rPr>
            <a:t>)</a:t>
          </a: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：実施日数の算定</a:t>
          </a:r>
          <a:endParaRPr kumimoji="1" lang="en-US" altLang="ja-JP" sz="10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1">
              <a:solidFill>
                <a:srgbClr val="FF0000"/>
              </a:solidFill>
              <a:latin typeface="ＭＳ ゴシック" panose="020B0609070205080204" pitchFamily="49" charset="-128"/>
              <a:ea typeface="ＭＳ ゴシック" panose="020B0609070205080204" pitchFamily="49" charset="-128"/>
            </a:rPr>
            <a:t>　</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別紙</a:t>
          </a:r>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5</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で確認</a:t>
          </a:r>
          <a:endParaRPr kumimoji="1" lang="en-US" altLang="ja-JP" sz="1000" b="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218</xdr:row>
      <xdr:rowOff>0</xdr:rowOff>
    </xdr:from>
    <xdr:to>
      <xdr:col>33</xdr:col>
      <xdr:colOff>3705225</xdr:colOff>
      <xdr:row>229</xdr:row>
      <xdr:rowOff>179295</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7490012" y="39086118"/>
          <a:ext cx="3667125" cy="4101353"/>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副食費徴収免除加算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solidFill>
                <a:srgbClr val="FF0000"/>
              </a:solidFill>
              <a:latin typeface="ＭＳ ゴシック" panose="020B0609070205080204" pitchFamily="49" charset="-128"/>
              <a:ea typeface="ＭＳ ゴシック" panose="020B0609070205080204" pitchFamily="49" charset="-128"/>
            </a:rPr>
            <a:t>・毎月分提出が必要です。</a:t>
          </a:r>
          <a:endParaRPr kumimoji="1" lang="en-US" altLang="ja-JP" sz="1000" b="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b="0">
              <a:solidFill>
                <a:srgbClr val="FF0000"/>
              </a:solidFill>
              <a:latin typeface="ＭＳ ゴシック" panose="020B0609070205080204" pitchFamily="49" charset="-128"/>
              <a:ea typeface="ＭＳ ゴシック" panose="020B0609070205080204" pitchFamily="49" charset="-128"/>
            </a:rPr>
            <a:t>・</a:t>
          </a:r>
          <a:r>
            <a:rPr kumimoji="1" lang="en-US" altLang="ja-JP" sz="1000" b="0">
              <a:solidFill>
                <a:srgbClr val="FF0000"/>
              </a:solidFill>
              <a:latin typeface="ＭＳ ゴシック" panose="020B0609070205080204" pitchFamily="49" charset="-128"/>
              <a:ea typeface="ＭＳ ゴシック" panose="020B0609070205080204" pitchFamily="49" charset="-128"/>
            </a:rPr>
            <a:t>1</a:t>
          </a:r>
          <a:r>
            <a:rPr kumimoji="1" lang="ja-JP" altLang="en-US" sz="1000" b="0">
              <a:solidFill>
                <a:srgbClr val="FF0000"/>
              </a:solidFill>
              <a:latin typeface="ＭＳ ゴシック" panose="020B0609070205080204" pitchFamily="49" charset="-128"/>
              <a:ea typeface="ＭＳ ゴシック" panose="020B0609070205080204" pitchFamily="49" charset="-128"/>
            </a:rPr>
            <a:t>号認定児童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に係る加算です。</a:t>
          </a:r>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号に実施する給食実施日数や提供状況を含めないでください。</a:t>
          </a:r>
          <a:endParaRPr kumimoji="1" lang="en-US" altLang="ja-JP" sz="1000" b="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をすべて入力する場合加算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：副食の実施の確認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副食の一部</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牛乳のみ等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を提供する場合は</a:t>
          </a:r>
          <a:r>
            <a:rPr kumimoji="1" lang="en-US" altLang="ja-JP" sz="1000">
              <a:latin typeface="ＭＳ ゴシック" panose="020B0609070205080204" pitchFamily="49" charset="-128"/>
              <a:ea typeface="ＭＳ ゴシック" panose="020B0609070205080204" pitchFamily="49" charset="-128"/>
            </a:rPr>
            <a:t>×</a:t>
          </a: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：実施日数の確認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別紙</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で確認</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57150</xdr:colOff>
      <xdr:row>254</xdr:row>
      <xdr:rowOff>9525</xdr:rowOff>
    </xdr:from>
    <xdr:to>
      <xdr:col>33</xdr:col>
      <xdr:colOff>3724275</xdr:colOff>
      <xdr:row>294</xdr:row>
      <xdr:rowOff>66675</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7381875" y="48815625"/>
          <a:ext cx="3667125" cy="89058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減価償却費加算</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・公定価格</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FAQ</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を参照してください。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の全ての要件に該当する場合加算</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：建物の自己所有の確認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：建物の整備・改修・取得する際に自己資金の発生</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：国庫補助金の交付を受けていない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取得又は増築する際に補助金を受けた場合は原則対象外になります。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なお、①～③の一定要件を全て満たす場合は国庫補助を受けていても対象といたしますが、その際は事前に給付係までご相談ください。相談もなく①～③を○としても認定は致しません。</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各選択肢の説明</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　改修の必要性の認定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老朽化等により建物全体を改修</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一部の改修・補強等は不可</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②　①の回収について国庫補助を受けていない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③　②の改修費用の割合</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：賃借料加算の対象となっていないことの確認</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賃借料</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の全ての要件に該当する場合加算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建物が賃貸物件であること</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の確認</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賃借料が発生していることの確認</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：国庫補助金の交付を受けていない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詳しくは公定価格を参照してください。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副食費徴収免除加算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・必ず全施設に適用されます。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rgbClr val="FF0000"/>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号児童</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に対する加算です。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分園の場合</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分園を設置した保育所型認定こども園又は分園を設置した保育所から移行した認定こども園に適用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000" b="1">
              <a:effectLst/>
              <a:latin typeface="ＭＳ ゴシック" panose="020B0609070205080204" pitchFamily="49" charset="-128"/>
              <a:ea typeface="ＭＳ ゴシック" panose="020B0609070205080204" pitchFamily="49" charset="-128"/>
            </a:rPr>
            <a:t>【</a:t>
          </a:r>
          <a:r>
            <a:rPr lang="ja-JP" altLang="en-US" sz="1000" b="1">
              <a:effectLst/>
              <a:latin typeface="ＭＳ ゴシック" panose="020B0609070205080204" pitchFamily="49" charset="-128"/>
              <a:ea typeface="ＭＳ ゴシック" panose="020B0609070205080204" pitchFamily="49" charset="-128"/>
            </a:rPr>
            <a:t>土曜日に閉所する場合</a:t>
          </a:r>
          <a:r>
            <a:rPr lang="en-US" altLang="ja-JP" sz="1000" b="1">
              <a:effectLst/>
              <a:latin typeface="ＭＳ ゴシック" panose="020B0609070205080204" pitchFamily="49" charset="-128"/>
              <a:ea typeface="ＭＳ ゴシック" panose="020B0609070205080204" pitchFamily="49" charset="-128"/>
            </a:rPr>
            <a:t>】</a:t>
          </a:r>
        </a:p>
        <a:p>
          <a:r>
            <a:rPr lang="ja-JP" altLang="en-US" sz="1000" b="1">
              <a:solidFill>
                <a:srgbClr val="FF0000"/>
              </a:solidFill>
              <a:effectLst/>
              <a:latin typeface="ＭＳ ゴシック" panose="020B0609070205080204" pitchFamily="49" charset="-128"/>
              <a:ea typeface="ＭＳ ゴシック" panose="020B0609070205080204" pitchFamily="49" charset="-128"/>
            </a:rPr>
            <a:t>・毎月作成すること。</a:t>
          </a:r>
        </a:p>
        <a:p>
          <a:r>
            <a:rPr lang="ja-JP" altLang="en-US" sz="1000">
              <a:effectLst/>
              <a:latin typeface="ＭＳ ゴシック" panose="020B0609070205080204" pitchFamily="49" charset="-128"/>
              <a:ea typeface="ＭＳ ゴシック" panose="020B0609070205080204" pitchFamily="49" charset="-128"/>
            </a:rPr>
            <a:t>・別紙</a:t>
          </a:r>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により確認する。</a:t>
          </a:r>
        </a:p>
        <a:p>
          <a:r>
            <a:rPr lang="ja-JP" altLang="en-US" sz="1000">
              <a:effectLst/>
              <a:latin typeface="ＭＳ ゴシック" panose="020B0609070205080204" pitchFamily="49" charset="-128"/>
              <a:ea typeface="ＭＳ ゴシック" panose="020B0609070205080204" pitchFamily="49" charset="-128"/>
            </a:rPr>
            <a:t>・当月については見込みで認定し、翌月に実績に報告すること。また、見込みと実績に差異があった場合は実績により精算を行う。ただし、</a:t>
          </a:r>
          <a:r>
            <a:rPr lang="en-US" altLang="ja-JP" sz="1000">
              <a:effectLst/>
              <a:latin typeface="ＭＳ ゴシック" panose="020B0609070205080204" pitchFamily="49" charset="-128"/>
              <a:ea typeface="ＭＳ ゴシック" panose="020B0609070205080204" pitchFamily="49" charset="-128"/>
            </a:rPr>
            <a:t>3</a:t>
          </a:r>
          <a:r>
            <a:rPr lang="ja-JP" altLang="en-US" sz="1000">
              <a:effectLst/>
              <a:latin typeface="ＭＳ ゴシック" panose="020B0609070205080204" pitchFamily="49" charset="-128"/>
              <a:ea typeface="ＭＳ ゴシック" panose="020B0609070205080204" pitchFamily="49" charset="-128"/>
            </a:rPr>
            <a:t>月分については実績確認を行わない。</a:t>
          </a:r>
        </a:p>
        <a:p>
          <a:r>
            <a:rPr lang="ja-JP" altLang="en-US" sz="1000">
              <a:effectLst/>
              <a:latin typeface="ＭＳ ゴシック" panose="020B0609070205080204" pitchFamily="49" charset="-128"/>
              <a:ea typeface="ＭＳ ゴシック" panose="020B0609070205080204" pitchFamily="49" charset="-128"/>
            </a:rPr>
            <a:t>・減算区分は「</a:t>
          </a:r>
          <a:r>
            <a:rPr lang="en-US" altLang="ja-JP" sz="1000">
              <a:effectLst/>
              <a:latin typeface="ＭＳ ゴシック" panose="020B0609070205080204" pitchFamily="49" charset="-128"/>
              <a:ea typeface="ＭＳ ゴシック" panose="020B0609070205080204" pitchFamily="49" charset="-128"/>
            </a:rPr>
            <a:t>1</a:t>
          </a:r>
          <a:r>
            <a:rPr lang="ja-JP" altLang="en-US" sz="1000">
              <a:effectLst/>
              <a:latin typeface="ＭＳ ゴシック" panose="020B0609070205080204" pitchFamily="49" charset="-128"/>
              <a:ea typeface="ＭＳ ゴシック" panose="020B0609070205080204" pitchFamily="49" charset="-128"/>
            </a:rPr>
            <a:t>日」「</a:t>
          </a:r>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日」「</a:t>
          </a:r>
          <a:r>
            <a:rPr lang="en-US" altLang="ja-JP" sz="1000">
              <a:effectLst/>
              <a:latin typeface="ＭＳ ゴシック" panose="020B0609070205080204" pitchFamily="49" charset="-128"/>
              <a:ea typeface="ＭＳ ゴシック" panose="020B0609070205080204" pitchFamily="49" charset="-128"/>
            </a:rPr>
            <a:t>3</a:t>
          </a:r>
          <a:r>
            <a:rPr lang="ja-JP" altLang="en-US" sz="1000">
              <a:effectLst/>
              <a:latin typeface="ＭＳ ゴシック" panose="020B0609070205080204" pitchFamily="49" charset="-128"/>
              <a:ea typeface="ＭＳ ゴシック" panose="020B0609070205080204" pitchFamily="49" charset="-128"/>
            </a:rPr>
            <a:t>日以上」「全て」の</a:t>
          </a:r>
          <a:r>
            <a:rPr lang="en-US" altLang="ja-JP" sz="1000">
              <a:effectLst/>
              <a:latin typeface="ＭＳ ゴシック" panose="020B0609070205080204" pitchFamily="49" charset="-128"/>
              <a:ea typeface="ＭＳ ゴシック" panose="020B0609070205080204" pitchFamily="49" charset="-128"/>
            </a:rPr>
            <a:t>4</a:t>
          </a:r>
          <a:r>
            <a:rPr lang="ja-JP" altLang="en-US" sz="1000">
              <a:effectLst/>
              <a:latin typeface="ＭＳ ゴシック" panose="020B0609070205080204" pitchFamily="49" charset="-128"/>
              <a:ea typeface="ＭＳ ゴシック" panose="020B0609070205080204" pitchFamily="49" charset="-128"/>
            </a:rPr>
            <a:t>区分</a:t>
          </a:r>
          <a:endParaRPr lang="en-US" altLang="ja-JP" sz="1000">
            <a:effectLst/>
            <a:latin typeface="ＭＳ ゴシック" panose="020B0609070205080204" pitchFamily="49" charset="-128"/>
            <a:ea typeface="ＭＳ ゴシック" panose="020B0609070205080204" pitchFamily="49" charset="-128"/>
          </a:endParaRPr>
        </a:p>
        <a:p>
          <a:endParaRPr lang="ja-JP" altLang="ja-JP" sz="1000">
            <a:effectLst/>
            <a:latin typeface="ＭＳ ゴシック" panose="020B0609070205080204" pitchFamily="49" charset="-128"/>
            <a:ea typeface="ＭＳ ゴシック" panose="020B0609070205080204" pitchFamily="49" charset="-128"/>
          </a:endParaRPr>
        </a:p>
      </xdr:txBody>
    </xdr:sp>
    <xdr:clientData/>
  </xdr:twoCellAnchor>
  <xdr:twoCellAnchor>
    <xdr:from>
      <xdr:col>62</xdr:col>
      <xdr:colOff>47625</xdr:colOff>
      <xdr:row>251</xdr:row>
      <xdr:rowOff>190499</xdr:rowOff>
    </xdr:from>
    <xdr:to>
      <xdr:col>67</xdr:col>
      <xdr:colOff>285750</xdr:colOff>
      <xdr:row>287</xdr:row>
      <xdr:rowOff>76199</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11229975" y="50006249"/>
          <a:ext cx="3667125" cy="778192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参考</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減価償却費加算についての公定価格</a:t>
          </a:r>
          <a:r>
            <a:rPr kumimoji="1" lang="en-US" altLang="ja-JP" sz="1000" b="1">
              <a:latin typeface="ＭＳ ゴシック" panose="020B0609070205080204" pitchFamily="49" charset="-128"/>
              <a:ea typeface="ＭＳ ゴシック" panose="020B0609070205080204" pitchFamily="49" charset="-128"/>
            </a:rPr>
            <a:t>FAQ</a:t>
          </a:r>
          <a:r>
            <a:rPr kumimoji="1" lang="ja-JP" altLang="en-US" sz="1000" b="1">
              <a:latin typeface="ＭＳ ゴシック" panose="020B0609070205080204" pitchFamily="49" charset="-128"/>
              <a:ea typeface="ＭＳ ゴシック" panose="020B0609070205080204" pitchFamily="49" charset="-128"/>
            </a:rPr>
            <a:t>について</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抜粋</a:t>
          </a:r>
          <a:r>
            <a:rPr kumimoji="1" lang="en-US" altLang="ja-JP" sz="1000" b="1">
              <a:latin typeface="ＭＳ ゴシック" panose="020B0609070205080204" pitchFamily="49" charset="-128"/>
              <a:ea typeface="ＭＳ ゴシック" panose="020B0609070205080204" pitchFamily="49" charset="-128"/>
            </a:rPr>
            <a:t>〉</a:t>
          </a:r>
        </a:p>
        <a:p>
          <a:pPr algn="l"/>
          <a:r>
            <a:rPr kumimoji="1" lang="en-US" altLang="ja-JP" sz="1000" b="1">
              <a:latin typeface="ＭＳ ゴシック" panose="020B0609070205080204" pitchFamily="49" charset="-128"/>
              <a:ea typeface="ＭＳ ゴシック" panose="020B0609070205080204" pitchFamily="49" charset="-128"/>
            </a:rPr>
            <a:t>Q122</a:t>
          </a:r>
          <a:r>
            <a:rPr kumimoji="1" lang="ja-JP" altLang="en-US" sz="1000" b="1">
              <a:latin typeface="ＭＳ ゴシック" panose="020B0609070205080204" pitchFamily="49" charset="-128"/>
              <a:ea typeface="ＭＳ ゴシック" panose="020B0609070205080204" pitchFamily="49" charset="-128"/>
            </a:rPr>
            <a:t>　自己所有であることとは？</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a:t>
          </a:r>
          <a:r>
            <a:rPr kumimoji="1" lang="ja-JP" altLang="en-US" sz="1000" b="1">
              <a:latin typeface="ＭＳ ゴシック" panose="020B0609070205080204" pitchFamily="49" charset="-128"/>
              <a:ea typeface="ＭＳ ゴシック" panose="020B0609070205080204" pitchFamily="49" charset="-128"/>
            </a:rPr>
            <a:t>　</a:t>
          </a:r>
          <a:r>
            <a:rPr kumimoji="1" lang="ja-JP" altLang="en-US" sz="1000" b="0">
              <a:latin typeface="ＭＳ ゴシック" panose="020B0609070205080204" pitchFamily="49" charset="-128"/>
              <a:ea typeface="ＭＳ ゴシック" panose="020B0609070205080204" pitchFamily="49" charset="-128"/>
            </a:rPr>
            <a:t>建物の名義が事業主でなければいけません。例えば、事業主体が法人で、法人代表者の建物を使用している場合は、名義が異なりますので認定できません。</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なお、家庭的保育事業等は、建物が配偶者や生計を一にしている者の名義であるなど、社会通念上、要件の趣旨に反しないと判断される場合は認定して差し支えありません。</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Q128</a:t>
          </a:r>
          <a:r>
            <a:rPr kumimoji="1" lang="ja-JP" altLang="en-US" sz="1000" b="1">
              <a:latin typeface="ＭＳ ゴシック" panose="020B0609070205080204" pitchFamily="49" charset="-128"/>
              <a:ea typeface="ＭＳ ゴシック" panose="020B0609070205080204" pitchFamily="49" charset="-128"/>
            </a:rPr>
            <a:t>　国庫補助を受けていないの判定基準とは？</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a:t>
          </a:r>
          <a:r>
            <a:rPr kumimoji="1" lang="ja-JP" altLang="en-US" sz="1000" b="1">
              <a:latin typeface="ＭＳ ゴシック" panose="020B0609070205080204" pitchFamily="49" charset="-128"/>
              <a:ea typeface="ＭＳ ゴシック" panose="020B0609070205080204" pitchFamily="49" charset="-128"/>
            </a:rPr>
            <a:t>　</a:t>
          </a:r>
          <a:r>
            <a:rPr kumimoji="1" lang="ja-JP" altLang="en-US" sz="1000" b="0">
              <a:latin typeface="ＭＳ ゴシック" panose="020B0609070205080204" pitchFamily="49" charset="-128"/>
              <a:ea typeface="ＭＳ ゴシック" panose="020B0609070205080204" pitchFamily="49" charset="-128"/>
            </a:rPr>
            <a:t>以下のとおり</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①　保育所の場合</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減価償却費加算の適用の判断は施設ごとに行う。このため、建物の一部</a:t>
          </a:r>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分園を含む</a:t>
          </a:r>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でも整備補助金を受けている場合は対象外。</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無償譲渡を受けて実施、整備や建物の購入をしていない場合は対象外。</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　整備補助金に該当しないもの</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地方自治体の単独事業による整備補助金</a:t>
          </a:r>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創設・増改築・改築・大規模修繕以外の補助金</a:t>
          </a:r>
          <a:r>
            <a:rPr kumimoji="1" lang="en-US" altLang="ja-JP" sz="1000" b="0">
              <a:latin typeface="ＭＳ ゴシック" panose="020B0609070205080204" pitchFamily="49" charset="-128"/>
              <a:ea typeface="ＭＳ ゴシック" panose="020B0609070205080204" pitchFamily="49" charset="-128"/>
            </a:rPr>
            <a:t>(</a:t>
          </a:r>
          <a:r>
            <a:rPr kumimoji="1" lang="ja-JP" altLang="en-US" sz="1000" b="0">
              <a:latin typeface="ＭＳ ゴシック" panose="020B0609070205080204" pitchFamily="49" charset="-128"/>
              <a:ea typeface="ＭＳ ゴシック" panose="020B0609070205080204" pitchFamily="49" charset="-128"/>
            </a:rPr>
            <a:t>スプリンクラーの整備補助など</a:t>
          </a:r>
          <a:r>
            <a:rPr kumimoji="1" lang="en-US" altLang="ja-JP" sz="1000" b="0">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②　認定こども園の場合</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保育所部分について、①と同様に一部でも補助を受けている場合は対象外。</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このため、幼稚園部分のみを国補助を受けて整備し、保育所部分を自己資金で整備した場合は補助の対象となります。</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賃借料</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加算についての公定価格</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FAQ</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について</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抜粋</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Q124</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国庫補助金の残額について</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国庫補助基準額から礼金を差し引いた額を軽減前の各月の賃借料で除して得られた月数を経過するまでは残額が生じているものと判定する。</a:t>
          </a:r>
          <a:endPar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例）賃借料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月、礼金</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240</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万円、国庫補助基準額</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国</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、地方自治体</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1/2)4100</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万円</a:t>
          </a:r>
          <a:endPar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4100-240</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32.2</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端数切り上げ</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となるため</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か月目から賃借料加算の適用が可能</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　</a:t>
          </a:r>
          <a:endParaRPr kumimoji="1" lang="en-US" altLang="ja-JP" sz="1000" b="1">
            <a:latin typeface="ＭＳ ゴシック" panose="020B0609070205080204" pitchFamily="49" charset="-128"/>
            <a:ea typeface="ＭＳ ゴシック" panose="020B0609070205080204" pitchFamily="49" charset="-128"/>
          </a:endParaRPr>
        </a:p>
        <a:p>
          <a:pPr algn="l"/>
          <a:endParaRPr kumimoji="1" lang="en-US" altLang="ja-JP" sz="1000" b="1">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47625</xdr:colOff>
      <xdr:row>296</xdr:row>
      <xdr:rowOff>0</xdr:rowOff>
    </xdr:from>
    <xdr:to>
      <xdr:col>33</xdr:col>
      <xdr:colOff>3714750</xdr:colOff>
      <xdr:row>335</xdr:row>
      <xdr:rowOff>66676</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372350" y="63179325"/>
          <a:ext cx="3667125" cy="961072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主幹保育教諭等専任未実施</a:t>
          </a:r>
          <a:r>
            <a:rPr kumimoji="1" lang="en-US" altLang="ja-JP" sz="1000" b="1">
              <a:latin typeface="ＭＳ ゴシック" panose="020B0609070205080204" pitchFamily="49" charset="-128"/>
              <a:ea typeface="ＭＳ ゴシック" panose="020B0609070205080204" pitchFamily="49" charset="-128"/>
            </a:rPr>
            <a:t>(1</a:t>
          </a:r>
          <a:r>
            <a:rPr kumimoji="1" lang="ja-JP" altLang="en-US" sz="1000" b="1">
              <a:latin typeface="ＭＳ ゴシック" panose="020B0609070205080204" pitchFamily="49" charset="-128"/>
              <a:ea typeface="ＭＳ ゴシック" panose="020B0609070205080204" pitchFamily="49" charset="-128"/>
            </a:rPr>
            <a:t>号</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のいずれかの要件を満たさない場合減算。ただし、当該減算を受けても、職員配置数を満たす場合は他の加算を取得することは可能。</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：主幹保育教諭と代替保育教諭の配置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からの自動引用です。「主幹保育教諭</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教育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」と「主幹代替保育教諭</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教育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名ずつ選択してください。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ja-JP" altLang="en-US"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：職員配置の充足</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からの自動引用です。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：地域の子育て支援等の確認</a:t>
          </a:r>
        </a:p>
        <a:p>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rgbClr val="FF0000"/>
              </a:solidFill>
              <a:effectLst/>
              <a:latin typeface="ＭＳ ゴシック" panose="020B0609070205080204" pitchFamily="49" charset="-128"/>
              <a:ea typeface="ＭＳ ゴシック" panose="020B0609070205080204" pitchFamily="49" charset="-128"/>
              <a:cs typeface="+mn-cs"/>
            </a:rPr>
            <a:t>認定開始月は挙証書類の種類によって異なります。</a:t>
          </a:r>
          <a:endParaRPr lang="ja-JP" altLang="ja-JP" sz="1000">
            <a:solidFill>
              <a:srgbClr val="FF0000"/>
            </a:solidFill>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mj-ea"/>
              <a:ea typeface="+mj-ea"/>
              <a:cs typeface="+mn-cs"/>
            </a:rPr>
            <a:t>4</a:t>
          </a:r>
          <a:r>
            <a:rPr kumimoji="1" lang="ja-JP" altLang="en-US" sz="1000">
              <a:solidFill>
                <a:schemeClr val="dk1"/>
              </a:solidFill>
              <a:effectLst/>
              <a:latin typeface="+mj-ea"/>
              <a:ea typeface="+mj-ea"/>
              <a:cs typeface="+mn-cs"/>
            </a:rPr>
            <a:t>：</a:t>
          </a:r>
          <a:r>
            <a:rPr kumimoji="1" lang="en-US" altLang="ja-JP" sz="1000">
              <a:solidFill>
                <a:schemeClr val="dk1"/>
              </a:solidFill>
              <a:effectLst/>
              <a:latin typeface="+mj-ea"/>
              <a:ea typeface="+mj-ea"/>
              <a:cs typeface="+mn-cs"/>
            </a:rPr>
            <a:t> </a:t>
          </a:r>
          <a:r>
            <a:rPr kumimoji="1" lang="ja-JP" altLang="ja-JP" sz="1000">
              <a:solidFill>
                <a:schemeClr val="dk1"/>
              </a:solidFill>
              <a:effectLst/>
              <a:latin typeface="+mj-ea"/>
              <a:ea typeface="+mj-ea"/>
              <a:cs typeface="+mn-cs"/>
            </a:rPr>
            <a:t>主幹教諭等と学級担任の兼務</a:t>
          </a:r>
          <a:endParaRPr lang="ja-JP" altLang="ja-JP" sz="800">
            <a:effectLst/>
            <a:latin typeface="+mj-ea"/>
            <a:ea typeface="+mj-ea"/>
          </a:endParaRPr>
        </a:p>
        <a:p>
          <a:r>
            <a:rPr kumimoji="1" lang="ja-JP" altLang="ja-JP" sz="1000">
              <a:solidFill>
                <a:schemeClr val="dk1"/>
              </a:solidFill>
              <a:effectLst/>
              <a:latin typeface="+mj-ea"/>
              <a:ea typeface="+mj-ea"/>
              <a:cs typeface="+mn-cs"/>
            </a:rPr>
            <a:t>　 </a:t>
          </a:r>
          <a:r>
            <a:rPr kumimoji="1" lang="ja-JP" altLang="en-US" sz="1000" baseline="0">
              <a:solidFill>
                <a:schemeClr val="dk1"/>
              </a:solidFill>
              <a:effectLst/>
              <a:latin typeface="+mj-ea"/>
              <a:ea typeface="+mj-ea"/>
              <a:cs typeface="+mn-cs"/>
            </a:rPr>
            <a:t> </a:t>
          </a:r>
          <a:r>
            <a:rPr kumimoji="1" lang="ja-JP" altLang="ja-JP" sz="1000">
              <a:solidFill>
                <a:schemeClr val="dk1"/>
              </a:solidFill>
              <a:effectLst/>
              <a:latin typeface="+mj-ea"/>
              <a:ea typeface="+mj-ea"/>
              <a:cs typeface="+mn-cs"/>
            </a:rPr>
            <a:t>挙証書類：</a:t>
          </a:r>
          <a:r>
            <a:rPr lang="ja-JP" altLang="ja-JP" sz="1000">
              <a:solidFill>
                <a:schemeClr val="dk1"/>
              </a:solidFill>
              <a:effectLst/>
              <a:latin typeface="+mj-ea"/>
              <a:ea typeface="+mj-ea"/>
              <a:cs typeface="+mn-cs"/>
            </a:rPr>
            <a:t>発令書、辞令等（事務分担表等で役職が特定でき</a:t>
          </a:r>
          <a:r>
            <a:rPr lang="en-US" altLang="ja-JP" sz="1000">
              <a:solidFill>
                <a:schemeClr val="dk1"/>
              </a:solidFill>
              <a:effectLst/>
              <a:latin typeface="+mj-ea"/>
              <a:ea typeface="+mj-ea"/>
              <a:cs typeface="+mn-cs"/>
            </a:rPr>
            <a:t>   </a:t>
          </a:r>
        </a:p>
        <a:p>
          <a:r>
            <a:rPr lang="ja-JP" altLang="en-US" sz="1000">
              <a:solidFill>
                <a:schemeClr val="dk1"/>
              </a:solidFill>
              <a:effectLst/>
              <a:latin typeface="+mj-ea"/>
              <a:ea typeface="+mj-ea"/>
              <a:cs typeface="+mn-cs"/>
            </a:rPr>
            <a:t>　　　　　　　　</a:t>
          </a:r>
          <a:r>
            <a:rPr lang="ja-JP" altLang="en-US" sz="1000" baseline="0">
              <a:solidFill>
                <a:schemeClr val="dk1"/>
              </a:solidFill>
              <a:effectLst/>
              <a:latin typeface="+mj-ea"/>
              <a:ea typeface="+mj-ea"/>
              <a:cs typeface="+mn-cs"/>
            </a:rPr>
            <a:t>  </a:t>
          </a:r>
          <a:r>
            <a:rPr lang="ja-JP" altLang="ja-JP" sz="1000">
              <a:solidFill>
                <a:schemeClr val="dk1"/>
              </a:solidFill>
              <a:effectLst/>
              <a:latin typeface="+mj-ea"/>
              <a:ea typeface="+mj-ea"/>
              <a:cs typeface="+mn-cs"/>
            </a:rPr>
            <a:t>る書類を含む）</a:t>
          </a:r>
          <a:r>
            <a:rPr kumimoji="1" lang="ja-JP" altLang="ja-JP" sz="1000">
              <a:solidFill>
                <a:schemeClr val="dk1"/>
              </a:solidFill>
              <a:effectLst/>
              <a:latin typeface="+mj-ea"/>
              <a:ea typeface="+mj-ea"/>
              <a:cs typeface="+mn-cs"/>
            </a:rPr>
            <a:t> を提出してください。</a:t>
          </a:r>
          <a:endParaRPr lang="ja-JP" altLang="ja-JP" sz="800">
            <a:effectLst/>
            <a:latin typeface="+mj-ea"/>
            <a:ea typeface="+mj-ea"/>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：事業要件</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つ以上実施していること</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①　幼稚園型一時預かり（在園児）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人</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月以上になった月から該当。ただし、</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月から適用になった場合のみ</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月から認定。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②　一般型一時預かり（非在園児）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①と同様</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③　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月初日時点</a:t>
          </a:r>
          <a:r>
            <a:rPr kumimoji="1" lang="ja-JP" altLang="en-US" sz="1000">
              <a:latin typeface="ＭＳ ゴシック" panose="020B0609070205080204" pitchFamily="49" charset="-128"/>
              <a:ea typeface="ＭＳ ゴシック" panose="020B0609070205080204" pitchFamily="49" charset="-128"/>
            </a:rPr>
            <a:t>で満</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歳児が</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人以上になった月を選択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④　障がい児</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ja-JP" sz="1000">
              <a:solidFill>
                <a:srgbClr val="FF0000"/>
              </a:solidFill>
              <a:effectLst/>
              <a:latin typeface="ＭＳ ゴシック" panose="020B0609070205080204" pitchFamily="49" charset="-128"/>
              <a:ea typeface="ＭＳ ゴシック" panose="020B0609070205080204" pitchFamily="49" charset="-128"/>
              <a:cs typeface="+mn-cs"/>
            </a:rPr>
            <a:t>月初日時点</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障がい児</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人以上になった月を選択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⑤　小学校接続</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・小学校接続加算とほぼ同様の加算要件です。</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・交流活動については、別紙</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をご覧ください。</a:t>
          </a: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つの要件に対しそれぞれ添付書類を提出していただく必要があります。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⑥　幼児教育センター等（国、北海道主催の同等の研修も含む）と連携した園内研修は年度内に実施予定でも認めます。ただし、最終的に年度内に実施ができない場合は</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月まで遡って取消します。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挙証書類：</a:t>
          </a:r>
          <a:r>
            <a:rPr kumimoji="1" lang="ja-JP" altLang="en-US" sz="1000">
              <a:latin typeface="ＭＳ ゴシック" panose="020B0609070205080204" pitchFamily="49" charset="-128"/>
              <a:ea typeface="ＭＳ ゴシック" panose="020B0609070205080204" pitchFamily="49" charset="-128"/>
            </a:rPr>
            <a:t>実施計画書の添付をお願いします。</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339</xdr:row>
      <xdr:rowOff>190498</xdr:rowOff>
    </xdr:from>
    <xdr:to>
      <xdr:col>33</xdr:col>
      <xdr:colOff>3705225</xdr:colOff>
      <xdr:row>370</xdr:row>
      <xdr:rowOff>2173941</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490012" y="72681351"/>
          <a:ext cx="3667125" cy="749673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主幹保育教諭等専任未実施</a:t>
          </a:r>
          <a:r>
            <a:rPr kumimoji="1" lang="en-US" altLang="ja-JP" sz="1000" b="1">
              <a:latin typeface="ＭＳ ゴシック" panose="020B0609070205080204" pitchFamily="49" charset="-128"/>
              <a:ea typeface="ＭＳ ゴシック" panose="020B0609070205080204" pitchFamily="49" charset="-128"/>
            </a:rPr>
            <a:t>(2</a:t>
          </a:r>
          <a:r>
            <a:rPr kumimoji="1" lang="ja-JP" altLang="en-US" sz="1000" b="1">
              <a:latin typeface="ＭＳ ゴシック" panose="020B0609070205080204" pitchFamily="49" charset="-128"/>
              <a:ea typeface="ＭＳ ゴシック" panose="020B0609070205080204" pitchFamily="49" charset="-128"/>
            </a:rPr>
            <a:t>・</a:t>
          </a:r>
          <a:r>
            <a:rPr kumimoji="1" lang="en-US" altLang="ja-JP" sz="1000" b="1">
              <a:latin typeface="ＭＳ ゴシック" panose="020B0609070205080204" pitchFamily="49" charset="-128"/>
              <a:ea typeface="ＭＳ ゴシック" panose="020B0609070205080204" pitchFamily="49" charset="-128"/>
            </a:rPr>
            <a:t>3</a:t>
          </a:r>
          <a:r>
            <a:rPr kumimoji="1" lang="ja-JP" altLang="en-US" sz="1000" b="1">
              <a:latin typeface="ＭＳ ゴシック" panose="020B0609070205080204" pitchFamily="49" charset="-128"/>
              <a:ea typeface="ＭＳ ゴシック" panose="020B0609070205080204" pitchFamily="49" charset="-128"/>
            </a:rPr>
            <a:t>号</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のいずれかの要件を満たさない場合減算。ただし、当該減算を受けても、職員配置数を満たす場合は他の加算を取得することは可能。</a:t>
          </a:r>
        </a:p>
        <a:p>
          <a:pPr algn="l"/>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：主幹保育教諭と代替保育教諭の配置</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様式</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からの自動引用です。「主幹保育教諭</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保育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」と「主幹代替保育教諭</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保育</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名ずつ選択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：地域の子育て支援等の確認</a:t>
          </a:r>
        </a:p>
        <a:p>
          <a:pPr algn="l"/>
          <a:r>
            <a:rPr kumimoji="1" lang="ja-JP" altLang="en-US" sz="1000">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認定開始月は挙証書類の種類によって異なります。</a:t>
          </a:r>
          <a:endParaRPr kumimoji="1" lang="en-US" altLang="ja-JP" sz="1000">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：事業要件</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つ以上実施していること</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①　延長保育</a:t>
          </a:r>
        </a:p>
        <a:p>
          <a:pPr algn="l"/>
          <a:r>
            <a:rPr kumimoji="1" lang="ja-JP" altLang="en-US" sz="1000">
              <a:latin typeface="ＭＳ ゴシック" panose="020B0609070205080204" pitchFamily="49" charset="-128"/>
              <a:ea typeface="ＭＳ ゴシック" panose="020B0609070205080204" pitchFamily="49" charset="-128"/>
            </a:rPr>
            <a:t>　運営係に実施協議書を提出し、実施の承認を得ていることが必要です。</a:t>
          </a:r>
        </a:p>
        <a:p>
          <a:pPr algn="l"/>
          <a:r>
            <a:rPr kumimoji="1" lang="ja-JP" altLang="en-US" sz="1000">
              <a:latin typeface="ＭＳ ゴシック" panose="020B0609070205080204" pitchFamily="49" charset="-128"/>
              <a:ea typeface="ＭＳ ゴシック" panose="020B0609070205080204" pitchFamily="49" charset="-128"/>
            </a:rPr>
            <a:t>②　一時預かり</a:t>
          </a:r>
        </a:p>
        <a:p>
          <a:pPr algn="l"/>
          <a:r>
            <a:rPr kumimoji="1" lang="ja-JP" altLang="en-US" sz="1000">
              <a:latin typeface="ＭＳ ゴシック" panose="020B0609070205080204" pitchFamily="49" charset="-128"/>
              <a:ea typeface="ＭＳ ゴシック" panose="020B0609070205080204" pitchFamily="49" charset="-128"/>
            </a:rPr>
            <a:t>　</a:t>
          </a:r>
          <a:r>
            <a:rPr kumimoji="1" lang="en-US" altLang="ja-JP" sz="1000">
              <a:latin typeface="ＭＳ ゴシック" panose="020B0609070205080204" pitchFamily="49" charset="-128"/>
              <a:ea typeface="ＭＳ ゴシック" panose="020B0609070205080204" pitchFamily="49" charset="-128"/>
            </a:rPr>
            <a:t>25</a:t>
          </a:r>
          <a:r>
            <a:rPr kumimoji="1" lang="ja-JP" altLang="en-US" sz="1000">
              <a:latin typeface="ＭＳ ゴシック" panose="020B0609070205080204" pitchFamily="49" charset="-128"/>
              <a:ea typeface="ＭＳ ゴシック" panose="020B0609070205080204" pitchFamily="49" charset="-128"/>
            </a:rPr>
            <a:t>人</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月以上になった月から該当。ただし、</a:t>
          </a:r>
          <a:r>
            <a:rPr kumimoji="1" lang="en-US" altLang="ja-JP" sz="1000">
              <a:latin typeface="ＭＳ ゴシック" panose="020B0609070205080204" pitchFamily="49" charset="-128"/>
              <a:ea typeface="ＭＳ ゴシック" panose="020B0609070205080204" pitchFamily="49" charset="-128"/>
            </a:rPr>
            <a:t>5</a:t>
          </a:r>
          <a:r>
            <a:rPr kumimoji="1" lang="ja-JP" altLang="en-US" sz="1000">
              <a:latin typeface="ＭＳ ゴシック" panose="020B0609070205080204" pitchFamily="49" charset="-128"/>
              <a:ea typeface="ＭＳ ゴシック" panose="020B0609070205080204" pitchFamily="49" charset="-128"/>
            </a:rPr>
            <a:t>月から適用になった場合のみ</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月から認定。</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③　病児保育</a:t>
          </a:r>
        </a:p>
        <a:p>
          <a:pPr algn="l"/>
          <a:r>
            <a:rPr kumimoji="1" lang="ja-JP" altLang="en-US" sz="1000">
              <a:latin typeface="ＭＳ ゴシック" panose="020B0609070205080204" pitchFamily="49" charset="-128"/>
              <a:ea typeface="ＭＳ ゴシック" panose="020B0609070205080204" pitchFamily="49" charset="-128"/>
            </a:rPr>
            <a:t>　本市には該当施設はありません。</a:t>
          </a:r>
        </a:p>
        <a:p>
          <a:pPr algn="l"/>
          <a:r>
            <a:rPr kumimoji="1" lang="ja-JP" altLang="en-US" sz="1000">
              <a:latin typeface="ＭＳ ゴシック" panose="020B0609070205080204" pitchFamily="49" charset="-128"/>
              <a:ea typeface="ＭＳ ゴシック" panose="020B0609070205080204" pitchFamily="49" charset="-128"/>
            </a:rPr>
            <a:t>④　乳児</a:t>
          </a:r>
          <a:r>
            <a:rPr kumimoji="1" lang="en-US" altLang="ja-JP" sz="1000">
              <a:latin typeface="ＭＳ ゴシック" panose="020B0609070205080204" pitchFamily="49" charset="-128"/>
              <a:ea typeface="ＭＳ ゴシック" panose="020B0609070205080204" pitchFamily="49" charset="-128"/>
            </a:rPr>
            <a:t>(0</a:t>
          </a:r>
          <a:r>
            <a:rPr kumimoji="1" lang="ja-JP" altLang="en-US" sz="1000">
              <a:latin typeface="ＭＳ ゴシック" panose="020B0609070205080204" pitchFamily="49" charset="-128"/>
              <a:ea typeface="ＭＳ ゴシック" panose="020B0609070205080204" pitchFamily="49" charset="-128"/>
            </a:rPr>
            <a:t>歳児</a:t>
          </a:r>
          <a:r>
            <a:rPr kumimoji="1" lang="en-US" altLang="ja-JP" sz="1000">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月初日時点で</a:t>
          </a:r>
          <a:r>
            <a:rPr kumimoji="1" lang="en-US" altLang="ja-JP" sz="1000">
              <a:latin typeface="ＭＳ ゴシック" panose="020B0609070205080204" pitchFamily="49" charset="-128"/>
              <a:ea typeface="ＭＳ ゴシック" panose="020B0609070205080204" pitchFamily="49" charset="-128"/>
            </a:rPr>
            <a:t>0</a:t>
          </a:r>
          <a:r>
            <a:rPr kumimoji="1" lang="ja-JP" altLang="en-US" sz="1000">
              <a:latin typeface="ＭＳ ゴシック" panose="020B0609070205080204" pitchFamily="49" charset="-128"/>
              <a:ea typeface="ＭＳ ゴシック" panose="020B0609070205080204" pitchFamily="49" charset="-128"/>
            </a:rPr>
            <a:t>歳児が</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人以上になった月を選択</a:t>
          </a:r>
        </a:p>
        <a:p>
          <a:pPr algn="l"/>
          <a:r>
            <a:rPr kumimoji="1" lang="ja-JP" altLang="en-US" sz="1000">
              <a:latin typeface="ＭＳ ゴシック" panose="020B0609070205080204" pitchFamily="49" charset="-128"/>
              <a:ea typeface="ＭＳ ゴシック" panose="020B0609070205080204" pitchFamily="49" charset="-128"/>
            </a:rPr>
            <a:t>⑤　障がい児</a:t>
          </a:r>
        </a:p>
        <a:p>
          <a:pPr algn="l"/>
          <a:r>
            <a:rPr kumimoji="1" lang="ja-JP" altLang="en-US" sz="1000">
              <a:latin typeface="ＭＳ ゴシック" panose="020B0609070205080204" pitchFamily="49" charset="-128"/>
              <a:ea typeface="ＭＳ ゴシック" panose="020B0609070205080204" pitchFamily="49" charset="-128"/>
            </a:rPr>
            <a:t>　月初日時点で障がい児が</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人以上になった月を選択</a:t>
          </a:r>
        </a:p>
        <a:p>
          <a:pPr algn="l"/>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添付書類必要</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376</xdr:row>
      <xdr:rowOff>0</xdr:rowOff>
    </xdr:from>
    <xdr:to>
      <xdr:col>33</xdr:col>
      <xdr:colOff>3705225</xdr:colOff>
      <xdr:row>418</xdr:row>
      <xdr:rowOff>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7362825" y="77514450"/>
          <a:ext cx="3667125" cy="78771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年齢別配置基準を下回る場合</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で自動判定し表示されます。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・実際の減算数は不足数</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号と</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号で按分するため）となります。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定員を恒常的に超過する場合</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号</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号</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・年度開始月に必ず作成し提出すること。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未入力の場合は「未入力」又は「減算適用」と判定されます。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号と</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号に分けてそれぞれ入力してください。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↓各項目の説明</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：施設型給付認定開始月</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施設型給付費</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委託費</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を受けるようになった開始月を選択。施設型給付の受給を開始した年月を西暦で入力すること。なお、本制度は平成</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2015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月から開始されましたので、それ以降の年月を入力することになります。</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：月初日利用定員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現在の利用定員が自動引用されています。定員変更等があった場合は上書き修正してください。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：月初日在籍子ども数</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月初日の児童数</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市内、市外問わない</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を入力してください。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減算は年度単位で適用されます。ただし、施設整備担当等と協議を行い、利用定員の見直し等で定員超過が解消される見込みが立った場合は、減算を翌月から解除いたします。その場合は「減算解除要件」に実施状況を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：協議年月日</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子ども未来局と協議した年月日を記載してください。なお、定員を見直した場合は、協議年月日と定員変更日を一致させてください。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例）●●年</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月から定員変更→協議年月日●●年</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日</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：見直し内容</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定員見直し又は受入れ人数見直しのどちらかを選択してください。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：協議先</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協議を行った相手先を記載してください（施設整備担当など）</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減算解除開始月に別紙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月に別紙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を提出してください。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　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別紙</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000" b="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b="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000" b="0">
              <a:solidFill>
                <a:schemeClr val="dk1"/>
              </a:solidFill>
              <a:effectLst/>
              <a:latin typeface="ＭＳ ゴシック" panose="020B0609070205080204" pitchFamily="49" charset="-128"/>
              <a:ea typeface="ＭＳ ゴシック" panose="020B0609070205080204" pitchFamily="49" charset="-128"/>
              <a:cs typeface="+mn-cs"/>
            </a:rPr>
            <a:t>により、定員超過が解消させていないことが判明した場合は、遡及して減算が適用されます。</a:t>
          </a:r>
          <a:endParaRPr lang="ja-JP" altLang="ja-JP" sz="1000">
            <a:effectLst/>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38100</xdr:colOff>
      <xdr:row>429</xdr:row>
      <xdr:rowOff>0</xdr:rowOff>
    </xdr:from>
    <xdr:to>
      <xdr:col>33</xdr:col>
      <xdr:colOff>3705225</xdr:colOff>
      <xdr:row>466</xdr:row>
      <xdr:rowOff>47625</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362825" y="86467950"/>
          <a:ext cx="3667125" cy="80295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療育支援加算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：主幹</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保育</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教諭等専任</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未実施の減算の適用がされていない･･･自動引用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補助者の配置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で選択すること。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：障がい児相談等の取組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障がい児に対する取り組みが必要です。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認定開始月は挙証書類の種類によって異なります。</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000">
              <a:effectLst/>
              <a:latin typeface="ＭＳ ゴシック" panose="020B0609070205080204" pitchFamily="49" charset="-128"/>
              <a:ea typeface="ＭＳ ゴシック" panose="020B0609070205080204" pitchFamily="49" charset="-128"/>
            </a:rPr>
            <a:t>4</a:t>
          </a:r>
          <a:r>
            <a:rPr lang="ja-JP" altLang="en-US" sz="1000">
              <a:effectLst/>
              <a:latin typeface="ＭＳ ゴシック" panose="020B0609070205080204" pitchFamily="49" charset="-128"/>
              <a:ea typeface="ＭＳ ゴシック" panose="020B0609070205080204" pitchFamily="49" charset="-128"/>
            </a:rPr>
            <a:t>：月初日の障がい児数</a:t>
          </a:r>
          <a:endParaRPr lang="en-US"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①　特別児童扶養手当（中～重度の児童に支給される手当。保護者の申請が必要。）</a:t>
          </a:r>
          <a:endParaRPr lang="en-US" altLang="ja-JP" sz="1000">
            <a:effectLst/>
            <a:latin typeface="ＭＳ ゴシック" panose="020B0609070205080204" pitchFamily="49" charset="-128"/>
            <a:ea typeface="ＭＳ ゴシック" panose="020B0609070205080204" pitchFamily="49" charset="-128"/>
          </a:endParaRPr>
        </a:p>
        <a:p>
          <a:r>
            <a:rPr lang="ja-JP" altLang="en-US" sz="1000">
              <a:effectLst/>
              <a:latin typeface="ＭＳ ゴシック" panose="020B0609070205080204" pitchFamily="49" charset="-128"/>
              <a:ea typeface="ＭＳ ゴシック" panose="020B0609070205080204" pitchFamily="49" charset="-128"/>
            </a:rPr>
            <a:t>　②　①以外の障がい児</a:t>
          </a:r>
          <a:endParaRPr lang="en-US"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事務職員配置</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利用定員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…91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人以上が対象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職員配置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で加算対象職員を</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選択すること。</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以下の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パターン有。</a:t>
          </a:r>
          <a:endParaRPr lang="ja-JP" altLang="ja-JP" sz="1000">
            <a:effectLst/>
            <a:latin typeface="ＭＳ ゴシック" panose="020B0609070205080204" pitchFamily="49" charset="-128"/>
            <a:ea typeface="ＭＳ ゴシック" panose="020B0609070205080204" pitchFamily="49" charset="-128"/>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①　</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施設長（事務兼務）＆非常勤事務（加算対象）の計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2</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②　</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常勤事務＆非常勤事務＆非常勤事務（加算対象）の計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（加算担当職員は事務専従である必要があります。）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000" b="1">
              <a:effectLst/>
              <a:latin typeface="ＭＳ ゴシック" panose="020B0609070205080204" pitchFamily="49" charset="-128"/>
              <a:ea typeface="ＭＳ ゴシック" panose="020B0609070205080204" pitchFamily="49" charset="-128"/>
            </a:rPr>
            <a:t>【</a:t>
          </a:r>
          <a:r>
            <a:rPr lang="ja-JP" altLang="en-US" sz="1000" b="1">
              <a:effectLst/>
              <a:latin typeface="ＭＳ ゴシック" panose="020B0609070205080204" pitchFamily="49" charset="-128"/>
              <a:ea typeface="ＭＳ ゴシック" panose="020B0609070205080204" pitchFamily="49" charset="-128"/>
            </a:rPr>
            <a:t>指導充実加配加算</a:t>
          </a:r>
          <a:r>
            <a:rPr lang="en-US" altLang="ja-JP" sz="1000" b="1">
              <a:effectLst/>
              <a:latin typeface="ＭＳ ゴシック" panose="020B0609070205080204" pitchFamily="49" charset="-128"/>
              <a:ea typeface="ＭＳ ゴシック" panose="020B0609070205080204" pitchFamily="49" charset="-128"/>
            </a:rPr>
            <a:t>】</a:t>
          </a:r>
        </a:p>
        <a:p>
          <a:r>
            <a:rPr lang="ja-JP" altLang="en-US" sz="1000">
              <a:effectLst/>
              <a:latin typeface="ＭＳ ゴシック" panose="020B0609070205080204" pitchFamily="49" charset="-128"/>
              <a:ea typeface="ＭＳ ゴシック" panose="020B0609070205080204" pitchFamily="49" charset="-128"/>
            </a:rPr>
            <a:t>・申請する場合は「申請する」を選択してください。</a:t>
          </a:r>
        </a:p>
        <a:p>
          <a:r>
            <a:rPr lang="ja-JP" altLang="en-US" sz="1000">
              <a:effectLst/>
              <a:latin typeface="ＭＳ ゴシック" panose="020B0609070205080204" pitchFamily="49" charset="-128"/>
              <a:ea typeface="ＭＳ ゴシック" panose="020B0609070205080204" pitchFamily="49" charset="-128"/>
            </a:rPr>
            <a:t>・</a:t>
          </a:r>
          <a:r>
            <a:rPr lang="en-US" altLang="ja-JP" sz="1000">
              <a:effectLst/>
              <a:latin typeface="ＭＳ ゴシック" panose="020B0609070205080204" pitchFamily="49" charset="-128"/>
              <a:ea typeface="ＭＳ ゴシック" panose="020B0609070205080204" pitchFamily="49" charset="-128"/>
            </a:rPr>
            <a:t>1</a:t>
          </a:r>
          <a:r>
            <a:rPr lang="ja-JP" altLang="en-US" sz="1000">
              <a:effectLst/>
              <a:latin typeface="ＭＳ ゴシック" panose="020B0609070205080204" pitchFamily="49" charset="-128"/>
              <a:ea typeface="ＭＳ ゴシック" panose="020B0609070205080204" pitchFamily="49" charset="-128"/>
            </a:rPr>
            <a:t>～</a:t>
          </a:r>
          <a:r>
            <a:rPr lang="en-US" altLang="ja-JP" sz="1000">
              <a:effectLst/>
              <a:latin typeface="ＭＳ ゴシック" panose="020B0609070205080204" pitchFamily="49" charset="-128"/>
              <a:ea typeface="ＭＳ ゴシック" panose="020B0609070205080204" pitchFamily="49" charset="-128"/>
            </a:rPr>
            <a:t>4</a:t>
          </a:r>
          <a:r>
            <a:rPr lang="ja-JP" altLang="en-US" sz="1000">
              <a:effectLst/>
              <a:latin typeface="ＭＳ ゴシック" panose="020B0609070205080204" pitchFamily="49" charset="-128"/>
              <a:ea typeface="ＭＳ ゴシック" panose="020B0609070205080204" pitchFamily="49" charset="-128"/>
            </a:rPr>
            <a:t>の全ての要件を満たす場合加算</a:t>
          </a:r>
        </a:p>
        <a:p>
          <a:r>
            <a:rPr lang="en-US" altLang="ja-JP" sz="1000">
              <a:effectLst/>
              <a:latin typeface="ＭＳ ゴシック" panose="020B0609070205080204" pitchFamily="49" charset="-128"/>
              <a:ea typeface="ＭＳ ゴシック" panose="020B0609070205080204" pitchFamily="49" charset="-128"/>
            </a:rPr>
            <a:t>1</a:t>
          </a:r>
          <a:r>
            <a:rPr lang="ja-JP" altLang="en-US" sz="1000">
              <a:effectLst/>
              <a:latin typeface="ＭＳ ゴシック" panose="020B0609070205080204" pitchFamily="49" charset="-128"/>
              <a:ea typeface="ＭＳ ゴシック" panose="020B0609070205080204" pitchFamily="49" charset="-128"/>
            </a:rPr>
            <a:t>：利用定員</a:t>
          </a:r>
          <a:r>
            <a:rPr lang="en-US" altLang="ja-JP" sz="1000">
              <a:effectLst/>
              <a:latin typeface="ＭＳ ゴシック" panose="020B0609070205080204" pitchFamily="49" charset="-128"/>
              <a:ea typeface="ＭＳ ゴシック" panose="020B0609070205080204" pitchFamily="49" charset="-128"/>
            </a:rPr>
            <a:t>…1</a:t>
          </a:r>
          <a:r>
            <a:rPr lang="ja-JP" altLang="en-US" sz="1000">
              <a:effectLst/>
              <a:latin typeface="ＭＳ ゴシック" panose="020B0609070205080204" pitchFamily="49" charset="-128"/>
              <a:ea typeface="ＭＳ ゴシック" panose="020B0609070205080204" pitchFamily="49" charset="-128"/>
            </a:rPr>
            <a:t>・</a:t>
          </a:r>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号で</a:t>
          </a:r>
          <a:r>
            <a:rPr lang="en-US" altLang="ja-JP" sz="1000">
              <a:effectLst/>
              <a:latin typeface="ＭＳ ゴシック" panose="020B0609070205080204" pitchFamily="49" charset="-128"/>
              <a:ea typeface="ＭＳ ゴシック" panose="020B0609070205080204" pitchFamily="49" charset="-128"/>
            </a:rPr>
            <a:t>271</a:t>
          </a:r>
          <a:r>
            <a:rPr lang="ja-JP" altLang="en-US" sz="1000">
              <a:effectLst/>
              <a:latin typeface="ＭＳ ゴシック" panose="020B0609070205080204" pitchFamily="49" charset="-128"/>
              <a:ea typeface="ＭＳ ゴシック" panose="020B0609070205080204" pitchFamily="49" charset="-128"/>
            </a:rPr>
            <a:t>人以上が対象</a:t>
          </a:r>
        </a:p>
        <a:p>
          <a:endParaRPr lang="ja-JP" altLang="en-US" sz="1000">
            <a:effectLst/>
            <a:latin typeface="ＭＳ ゴシック" panose="020B0609070205080204" pitchFamily="49" charset="-128"/>
            <a:ea typeface="ＭＳ ゴシック" panose="020B0609070205080204" pitchFamily="49" charset="-128"/>
          </a:endParaRPr>
        </a:p>
        <a:p>
          <a:r>
            <a:rPr lang="en-US" altLang="ja-JP" sz="1000">
              <a:effectLst/>
              <a:latin typeface="ＭＳ ゴシック" panose="020B0609070205080204" pitchFamily="49" charset="-128"/>
              <a:ea typeface="ＭＳ ゴシック" panose="020B0609070205080204" pitchFamily="49" charset="-128"/>
            </a:rPr>
            <a:t>2</a:t>
          </a:r>
          <a:r>
            <a:rPr lang="ja-JP" altLang="en-US" sz="1000">
              <a:effectLst/>
              <a:latin typeface="ＭＳ ゴシック" panose="020B0609070205080204" pitchFamily="49" charset="-128"/>
              <a:ea typeface="ＭＳ ゴシック" panose="020B0609070205080204" pitchFamily="49" charset="-128"/>
            </a:rPr>
            <a:t>：非常勤講師配置</a:t>
          </a:r>
        </a:p>
        <a:p>
          <a:r>
            <a:rPr lang="ja-JP" altLang="en-US" sz="1000">
              <a:effectLst/>
              <a:latin typeface="ＭＳ ゴシック" panose="020B0609070205080204" pitchFamily="49" charset="-128"/>
              <a:ea typeface="ＭＳ ゴシック" panose="020B0609070205080204" pitchFamily="49" charset="-128"/>
            </a:rPr>
            <a:t>　様式</a:t>
          </a:r>
          <a:r>
            <a:rPr lang="en-US" altLang="ja-JP" sz="1000">
              <a:effectLst/>
              <a:latin typeface="ＭＳ ゴシック" panose="020B0609070205080204" pitchFamily="49" charset="-128"/>
              <a:ea typeface="ＭＳ ゴシック" panose="020B0609070205080204" pitchFamily="49" charset="-128"/>
            </a:rPr>
            <a:t>5</a:t>
          </a:r>
          <a:r>
            <a:rPr lang="ja-JP" altLang="en-US" sz="1000">
              <a:effectLst/>
              <a:latin typeface="ＭＳ ゴシック" panose="020B0609070205080204" pitchFamily="49" charset="-128"/>
              <a:ea typeface="ＭＳ ゴシック" panose="020B0609070205080204" pitchFamily="49" charset="-128"/>
            </a:rPr>
            <a:t>で選択。特別な科目を担当する等の要件はありません。</a:t>
          </a:r>
          <a:endParaRPr lang="en-US" altLang="ja-JP" sz="1000">
            <a:effectLst/>
            <a:latin typeface="ＭＳ ゴシック" panose="020B0609070205080204" pitchFamily="49" charset="-128"/>
            <a:ea typeface="ＭＳ ゴシック" panose="020B0609070205080204" pitchFamily="49" charset="-128"/>
          </a:endParaRPr>
        </a:p>
        <a:p>
          <a:endParaRPr lang="ja-JP" altLang="en-US" sz="1000">
            <a:effectLst/>
            <a:latin typeface="ＭＳ ゴシック" panose="020B0609070205080204" pitchFamily="49" charset="-128"/>
            <a:ea typeface="ＭＳ ゴシック" panose="020B0609070205080204" pitchFamily="49" charset="-128"/>
          </a:endParaRPr>
        </a:p>
        <a:p>
          <a:r>
            <a:rPr lang="en-US" altLang="ja-JP" sz="1000">
              <a:effectLst/>
              <a:latin typeface="ＭＳ ゴシック" panose="020B0609070205080204" pitchFamily="49" charset="-128"/>
              <a:ea typeface="ＭＳ ゴシック" panose="020B0609070205080204" pitchFamily="49" charset="-128"/>
            </a:rPr>
            <a:t>3</a:t>
          </a:r>
          <a:r>
            <a:rPr lang="ja-JP" altLang="en-US" sz="1000">
              <a:effectLst/>
              <a:latin typeface="ＭＳ ゴシック" panose="020B0609070205080204" pitchFamily="49" charset="-128"/>
              <a:ea typeface="ＭＳ ゴシック" panose="020B0609070205080204" pitchFamily="49" charset="-128"/>
            </a:rPr>
            <a:t>：資格の保有の確認</a:t>
          </a:r>
          <a:endParaRPr lang="en-US" altLang="ja-JP" sz="10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00">
              <a:effectLst/>
              <a:latin typeface="ＭＳ ゴシック" panose="020B0609070205080204" pitchFamily="49" charset="-128"/>
              <a:ea typeface="ＭＳ ゴシック" panose="020B0609070205080204" pitchFamily="49" charset="-128"/>
            </a:rPr>
            <a:t>　</a:t>
          </a:r>
          <a:r>
            <a:rPr lang="ja-JP" altLang="ja-JP" sz="1000">
              <a:solidFill>
                <a:schemeClr val="dk1"/>
              </a:solidFill>
              <a:effectLst/>
              <a:latin typeface="ＭＳ ゴシック" panose="020B0609070205080204" pitchFamily="49" charset="-128"/>
              <a:ea typeface="ＭＳ ゴシック" panose="020B0609070205080204" pitchFamily="49" charset="-128"/>
              <a:cs typeface="+mn-cs"/>
            </a:rPr>
            <a:t>施設種別により揃えるべき資格等が異なりますのでご注意ください。</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（幼保</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経過措置中</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・地裁～幼</a:t>
          </a:r>
          <a:r>
            <a:rPr lang="en-US" altLang="ja-JP" sz="1000">
              <a:solidFill>
                <a:schemeClr val="dk1"/>
              </a:solidFill>
              <a:effectLst/>
              <a:latin typeface="ＭＳ ゴシック" panose="020B0609070205080204" pitchFamily="49" charset="-128"/>
              <a:ea typeface="ＭＳ ゴシック" panose="020B0609070205080204" pitchFamily="49" charset="-128"/>
              <a:cs typeface="+mn-cs"/>
            </a:rPr>
            <a:t>or</a:t>
          </a:r>
          <a:r>
            <a:rPr lang="ja-JP" altLang="en-US" sz="1000">
              <a:solidFill>
                <a:schemeClr val="dk1"/>
              </a:solidFill>
              <a:effectLst/>
              <a:latin typeface="ＭＳ ゴシック" panose="020B0609070205080204" pitchFamily="49" charset="-128"/>
              <a:ea typeface="ＭＳ ゴシック" panose="020B0609070205080204" pitchFamily="49" charset="-128"/>
              <a:cs typeface="+mn-cs"/>
            </a:rPr>
            <a:t>保、保認～保、幼認～幼）</a:t>
          </a:r>
          <a:endParaRPr lang="ja-JP" altLang="ja-JP" sz="1000">
            <a:effectLst/>
            <a:latin typeface="ＭＳ ゴシック" panose="020B0609070205080204" pitchFamily="49" charset="-128"/>
            <a:ea typeface="ＭＳ ゴシック" panose="020B0609070205080204" pitchFamily="49" charset="-128"/>
          </a:endParaRPr>
        </a:p>
        <a:p>
          <a:endParaRPr lang="ja-JP" altLang="en-US" sz="1000">
            <a:effectLst/>
            <a:latin typeface="ＭＳ ゴシック" panose="020B0609070205080204" pitchFamily="49" charset="-128"/>
            <a:ea typeface="ＭＳ ゴシック" panose="020B0609070205080204" pitchFamily="49" charset="-128"/>
          </a:endParaRPr>
        </a:p>
        <a:p>
          <a:r>
            <a:rPr lang="en-US" altLang="ja-JP" sz="1000">
              <a:effectLst/>
              <a:latin typeface="ＭＳ ゴシック" panose="020B0609070205080204" pitchFamily="49" charset="-128"/>
              <a:ea typeface="ＭＳ ゴシック" panose="020B0609070205080204" pitchFamily="49" charset="-128"/>
            </a:rPr>
            <a:t>4</a:t>
          </a:r>
          <a:r>
            <a:rPr lang="ja-JP" altLang="en-US" sz="1000">
              <a:effectLst/>
              <a:latin typeface="ＭＳ ゴシック" panose="020B0609070205080204" pitchFamily="49" charset="-128"/>
              <a:ea typeface="ＭＳ ゴシック" panose="020B0609070205080204" pitchFamily="49" charset="-128"/>
            </a:rPr>
            <a:t>：保育教諭の発令の確認</a:t>
          </a:r>
        </a:p>
        <a:p>
          <a:r>
            <a:rPr lang="en-US" altLang="ja-JP" sz="1000">
              <a:effectLst/>
              <a:latin typeface="ＭＳ ゴシック" panose="020B0609070205080204" pitchFamily="49" charset="-128"/>
              <a:ea typeface="ＭＳ ゴシック" panose="020B0609070205080204" pitchFamily="49" charset="-128"/>
            </a:rPr>
            <a:t>※</a:t>
          </a:r>
          <a:r>
            <a:rPr lang="ja-JP" altLang="en-US" sz="1000">
              <a:effectLst/>
              <a:latin typeface="ＭＳ ゴシック" panose="020B0609070205080204" pitchFamily="49" charset="-128"/>
              <a:ea typeface="ＭＳ ゴシック" panose="020B0609070205080204" pitchFamily="49" charset="-128"/>
            </a:rPr>
            <a:t>　添付書類必要</a:t>
          </a:r>
        </a:p>
        <a:p>
          <a:endParaRPr lang="ja-JP" altLang="ja-JP" sz="1000">
            <a:effectLst/>
            <a:latin typeface="ＭＳ ゴシック" panose="020B0609070205080204" pitchFamily="49" charset="-128"/>
            <a:ea typeface="ＭＳ ゴシック" panose="020B0609070205080204" pitchFamily="49" charset="-128"/>
          </a:endParaRPr>
        </a:p>
        <a:p>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28575</xdr:colOff>
      <xdr:row>467</xdr:row>
      <xdr:rowOff>0</xdr:rowOff>
    </xdr:from>
    <xdr:to>
      <xdr:col>33</xdr:col>
      <xdr:colOff>3695700</xdr:colOff>
      <xdr:row>497</xdr:row>
      <xdr:rowOff>66675</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7353300" y="94640400"/>
          <a:ext cx="3667125" cy="67246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事務負担対応加配加算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の全ての要件を満たす場合加算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利用定員</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…271</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人以上が対象</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事務職員配置加算の取得</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：非常勤事務を配置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で加算対象職員は「事務負担対応担当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専従</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」を選択すること。以下の</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パターン有。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①　施設長（事務兼務）＆非常勤事務</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＆非常勤事務（加算対象）</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3</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名</a:t>
          </a:r>
          <a:endParaRPr lang="ja-JP" altLang="ja-JP" sz="800">
            <a:effectLst/>
            <a:latin typeface="ＭＳ ゴシック" panose="020B0609070205080204" pitchFamily="49" charset="-128"/>
            <a:ea typeface="ＭＳ ゴシック" panose="020B0609070205080204" pitchFamily="49" charset="-128"/>
          </a:endParaRPr>
        </a:p>
        <a:p>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②　常勤事務＆非常勤事務＆非常勤事務</a:t>
          </a:r>
          <a:r>
            <a:rPr lang="ja-JP" altLang="en-US" sz="800">
              <a:solidFill>
                <a:schemeClr val="dk1"/>
              </a:solidFill>
              <a:effectLst/>
              <a:latin typeface="ＭＳ ゴシック" panose="020B0609070205080204" pitchFamily="49" charset="-128"/>
              <a:ea typeface="ＭＳ ゴシック" panose="020B0609070205080204" pitchFamily="49" charset="-128"/>
              <a:cs typeface="+mn-cs"/>
            </a:rPr>
            <a:t>＆非常勤事務（加算対象）</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の計</a:t>
          </a:r>
          <a:r>
            <a:rPr lang="en-US" altLang="ja-JP" sz="800">
              <a:solidFill>
                <a:schemeClr val="dk1"/>
              </a:solidFill>
              <a:effectLst/>
              <a:latin typeface="ＭＳ ゴシック" panose="020B0609070205080204" pitchFamily="49" charset="-128"/>
              <a:ea typeface="ＭＳ ゴシック" panose="020B0609070205080204" pitchFamily="49" charset="-128"/>
              <a:cs typeface="+mn-cs"/>
            </a:rPr>
            <a:t>4</a:t>
          </a:r>
          <a:r>
            <a:rPr lang="ja-JP" altLang="ja-JP" sz="800">
              <a:solidFill>
                <a:schemeClr val="dk1"/>
              </a:solidFill>
              <a:effectLst/>
              <a:latin typeface="ＭＳ ゴシック" panose="020B0609070205080204" pitchFamily="49" charset="-128"/>
              <a:ea typeface="ＭＳ ゴシック" panose="020B0609070205080204" pitchFamily="49" charset="-128"/>
              <a:cs typeface="+mn-cs"/>
            </a:rPr>
            <a:t>名</a:t>
          </a:r>
          <a:endParaRPr lang="en-US" altLang="ja-JP" sz="8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（加算担当職員は事務専従である必要があります。）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処遇改善等加算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Ⅱ】</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b="1">
              <a:solidFill>
                <a:schemeClr val="dk1"/>
              </a:solidFill>
              <a:effectLst/>
              <a:latin typeface="ＭＳ ゴシック" panose="020B0609070205080204" pitchFamily="49" charset="-128"/>
              <a:ea typeface="ＭＳ ゴシック" panose="020B0609070205080204" pitchFamily="49" charset="-128"/>
              <a:cs typeface="+mn-cs"/>
            </a:rPr>
            <a:t>栄養管理加算</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・申請する場合は「申請する」を選択してください。</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全て</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記載する場合</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加算</a:t>
          </a:r>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栄養士等の活用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栄養士等を調理員として雇用し、調理員としてのみ活用している場合は該当しません。</a:t>
          </a:r>
          <a:r>
            <a:rPr kumimoji="1" lang="ja-JP" altLang="en-US" sz="1000">
              <a:solidFill>
                <a:srgbClr val="FF0000"/>
              </a:solidFill>
              <a:effectLst/>
              <a:latin typeface="ＭＳ ゴシック" panose="020B0609070205080204" pitchFamily="49" charset="-128"/>
              <a:ea typeface="ＭＳ ゴシック" panose="020B0609070205080204" pitchFamily="49" charset="-128"/>
              <a:cs typeface="+mn-cs"/>
            </a:rPr>
            <a:t>認定開始月は挙証書類の種類によって異なります。</a:t>
          </a: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000">
            <a:effectLst/>
            <a:latin typeface="ＭＳ ゴシック" panose="020B0609070205080204" pitchFamily="49" charset="-128"/>
            <a:ea typeface="ＭＳ ゴシック" panose="020B0609070205080204" pitchFamily="49" charset="-128"/>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栄養士等の配置</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①は様式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様式</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からの自動引用</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なお、雇用契約等については、直接雇用もしくは派遣契約が想定され、外部委託は含みません。</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②は該当する場合選択</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いずれも該当する場合は一番単価の高い区分が選択されます。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添付書類必要</a:t>
          </a:r>
          <a:endParaRPr lang="ja-JP" altLang="ja-JP" sz="1000">
            <a:effectLst/>
            <a:latin typeface="ＭＳ ゴシック" panose="020B0609070205080204" pitchFamily="49" charset="-128"/>
            <a:ea typeface="ＭＳ ゴシック" panose="020B0609070205080204" pitchFamily="49" charset="-128"/>
          </a:endParaRPr>
        </a:p>
        <a:p>
          <a:endParaRPr lang="ja-JP" altLang="ja-JP" sz="1000">
            <a:effectLst/>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ja-JP" altLang="en-US" sz="1000">
              <a:latin typeface="ＭＳ ゴシック" panose="020B0609070205080204" pitchFamily="49" charset="-128"/>
              <a:ea typeface="ＭＳ ゴシック" panose="020B0609070205080204" pitchFamily="49" charset="-128"/>
            </a:rPr>
            <a:t>　</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33</xdr:col>
      <xdr:colOff>47625</xdr:colOff>
      <xdr:row>232</xdr:row>
      <xdr:rowOff>7845</xdr:rowOff>
    </xdr:from>
    <xdr:to>
      <xdr:col>33</xdr:col>
      <xdr:colOff>3714750</xdr:colOff>
      <xdr:row>251</xdr:row>
      <xdr:rowOff>26895</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7499537" y="43587521"/>
          <a:ext cx="3667125" cy="527460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休日保育加算</a:t>
          </a:r>
          <a:r>
            <a:rPr kumimoji="1" lang="en-US" altLang="ja-JP" sz="1000" b="1">
              <a:solidFill>
                <a:schemeClr val="dk1"/>
              </a:solidFill>
              <a:effectLst/>
              <a:latin typeface="+mn-lt"/>
              <a:ea typeface="+mn-ea"/>
              <a:cs typeface="+mn-cs"/>
            </a:rPr>
            <a:t>】</a:t>
          </a:r>
          <a:endParaRPr lang="ja-JP" altLang="ja-JP" sz="800">
            <a:effectLst/>
          </a:endParaRPr>
        </a:p>
        <a:p>
          <a:r>
            <a:rPr kumimoji="1" lang="ja-JP" altLang="ja-JP" sz="1000" b="1">
              <a:solidFill>
                <a:schemeClr val="dk1"/>
              </a:solidFill>
              <a:effectLst/>
              <a:latin typeface="+mn-lt"/>
              <a:ea typeface="+mn-ea"/>
              <a:cs typeface="+mn-cs"/>
            </a:rPr>
            <a:t>・毎月提出すること。</a:t>
          </a:r>
          <a:endParaRPr lang="ja-JP" altLang="ja-JP" sz="800">
            <a:effectLst/>
          </a:endParaRPr>
        </a:p>
        <a:p>
          <a:r>
            <a:rPr kumimoji="1" lang="ja-JP" altLang="ja-JP" sz="1000">
              <a:solidFill>
                <a:schemeClr val="dk1"/>
              </a:solidFill>
              <a:effectLst/>
              <a:latin typeface="+mn-lt"/>
              <a:ea typeface="+mn-ea"/>
              <a:cs typeface="+mn-cs"/>
            </a:rPr>
            <a:t>・申請する場合は「申請する」を選択。</a:t>
          </a:r>
          <a:endParaRPr lang="ja-JP" altLang="ja-JP" sz="800">
            <a:effectLst/>
          </a:endParaRPr>
        </a:p>
        <a:p>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の全ての要件に該当し、利用児童数表をすべて入力した場合加算</a:t>
          </a:r>
          <a:endParaRPr lang="ja-JP" altLang="ja-JP" sz="800">
            <a:effectLst/>
          </a:endParaRPr>
        </a:p>
        <a:p>
          <a:r>
            <a:rPr kumimoji="1" lang="en-US" altLang="ja-JP" sz="1000">
              <a:solidFill>
                <a:schemeClr val="dk1"/>
              </a:solidFill>
              <a:effectLst/>
              <a:latin typeface="+mn-lt"/>
              <a:ea typeface="+mn-ea"/>
              <a:cs typeface="+mn-cs"/>
            </a:rPr>
            <a:t>1</a:t>
          </a:r>
          <a:r>
            <a:rPr kumimoji="1" lang="ja-JP" altLang="ja-JP" sz="1000">
              <a:solidFill>
                <a:schemeClr val="dk1"/>
              </a:solidFill>
              <a:effectLst/>
              <a:latin typeface="+mn-lt"/>
              <a:ea typeface="+mn-ea"/>
              <a:cs typeface="+mn-cs"/>
            </a:rPr>
            <a:t>：実施体制の確認</a:t>
          </a:r>
          <a:endParaRPr lang="ja-JP" altLang="ja-JP" sz="800">
            <a:effectLst/>
          </a:endParaRPr>
        </a:p>
        <a:p>
          <a:r>
            <a:rPr kumimoji="1" lang="ja-JP" altLang="ja-JP" sz="1000">
              <a:solidFill>
                <a:schemeClr val="dk1"/>
              </a:solidFill>
              <a:effectLst/>
              <a:latin typeface="+mn-lt"/>
              <a:ea typeface="+mn-ea"/>
              <a:cs typeface="+mn-cs"/>
            </a:rPr>
            <a:t>①　自園のみで休日保育を年間実施</a:t>
          </a:r>
          <a:endParaRPr lang="ja-JP" altLang="ja-JP" sz="800">
            <a:effectLst/>
          </a:endParaRPr>
        </a:p>
        <a:p>
          <a:r>
            <a:rPr kumimoji="1" lang="ja-JP" altLang="ja-JP" sz="1000">
              <a:solidFill>
                <a:schemeClr val="dk1"/>
              </a:solidFill>
              <a:effectLst/>
              <a:latin typeface="+mn-lt"/>
              <a:ea typeface="+mn-ea"/>
              <a:cs typeface="+mn-cs"/>
            </a:rPr>
            <a:t>②　共同保育により、自園＋その他の園で休日保育を年間実施</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事前に運営係に相談・認定を受ける必要がある。</a:t>
          </a:r>
          <a:r>
            <a:rPr kumimoji="1" lang="en-US" altLang="ja-JP" sz="1000">
              <a:solidFill>
                <a:schemeClr val="dk1"/>
              </a:solidFill>
              <a:effectLst/>
              <a:latin typeface="+mn-lt"/>
              <a:ea typeface="+mn-ea"/>
              <a:cs typeface="+mn-cs"/>
            </a:rPr>
            <a:t>)</a:t>
          </a:r>
          <a:endParaRPr lang="ja-JP" altLang="ja-JP" sz="800">
            <a:effectLst/>
          </a:endParaRPr>
        </a:p>
        <a:p>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：職員配置</a:t>
          </a:r>
          <a:endParaRPr lang="ja-JP" altLang="ja-JP" sz="800">
            <a:effectLst/>
          </a:endParaRPr>
        </a:p>
        <a:p>
          <a:r>
            <a:rPr kumimoji="1" lang="ja-JP" altLang="ja-JP" sz="1000">
              <a:solidFill>
                <a:schemeClr val="dk1"/>
              </a:solidFill>
              <a:effectLst/>
              <a:latin typeface="+mn-lt"/>
              <a:ea typeface="+mn-ea"/>
              <a:cs typeface="+mn-cs"/>
            </a:rPr>
            <a:t>　・実施体制の確認</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別紙</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を記載</a:t>
          </a:r>
          <a:r>
            <a:rPr kumimoji="1" lang="en-US" altLang="ja-JP" sz="1000">
              <a:solidFill>
                <a:schemeClr val="dk1"/>
              </a:solidFill>
              <a:effectLst/>
              <a:latin typeface="+mn-lt"/>
              <a:ea typeface="+mn-ea"/>
              <a:cs typeface="+mn-cs"/>
            </a:rPr>
            <a:t>)</a:t>
          </a:r>
          <a:endParaRPr lang="ja-JP" altLang="ja-JP" sz="800">
            <a:effectLst/>
          </a:endParaRPr>
        </a:p>
        <a:p>
          <a:r>
            <a:rPr kumimoji="1" lang="ja-JP" altLang="ja-JP" sz="1000">
              <a:solidFill>
                <a:schemeClr val="dk1"/>
              </a:solidFill>
              <a:effectLst/>
              <a:latin typeface="+mn-lt"/>
              <a:ea typeface="+mn-ea"/>
              <a:cs typeface="+mn-cs"/>
            </a:rPr>
            <a:t>　・月当たりの利用児童内訳を入力</a:t>
          </a:r>
          <a:endParaRPr kumimoji="1" lang="en-US" altLang="ja-JP" sz="1000">
            <a:solidFill>
              <a:schemeClr val="dk1"/>
            </a:solidFill>
            <a:effectLst/>
            <a:latin typeface="+mn-lt"/>
            <a:ea typeface="+mn-ea"/>
            <a:cs typeface="+mn-cs"/>
          </a:endParaRPr>
        </a:p>
        <a:p>
          <a:endParaRPr kumimoji="1" lang="en-US" altLang="ja-JP" sz="1000">
            <a:solidFill>
              <a:schemeClr val="dk1"/>
            </a:solidFill>
            <a:effectLst/>
            <a:latin typeface="+mn-lt"/>
            <a:ea typeface="+mn-ea"/>
            <a:cs typeface="+mn-cs"/>
          </a:endParaRPr>
        </a:p>
        <a:p>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：利用児童数表</a:t>
          </a:r>
        </a:p>
        <a:p>
          <a:r>
            <a:rPr kumimoji="1" lang="ja-JP" altLang="ja-JP" sz="1000">
              <a:solidFill>
                <a:schemeClr val="dk1"/>
              </a:solidFill>
              <a:effectLst/>
              <a:latin typeface="+mn-lt"/>
              <a:ea typeface="+mn-ea"/>
              <a:cs typeface="+mn-cs"/>
            </a:rPr>
            <a:t>①　前年度延べ利用子ども数</a:t>
          </a:r>
        </a:p>
        <a:p>
          <a:r>
            <a:rPr kumimoji="1" lang="ja-JP" altLang="ja-JP" sz="1000">
              <a:solidFill>
                <a:schemeClr val="dk1"/>
              </a:solidFill>
              <a:effectLst/>
              <a:latin typeface="+mn-lt"/>
              <a:ea typeface="+mn-ea"/>
              <a:cs typeface="+mn-cs"/>
            </a:rPr>
            <a:t>　実績値を計上すること</a:t>
          </a:r>
        </a:p>
        <a:p>
          <a:r>
            <a:rPr kumimoji="1" lang="ja-JP" altLang="ja-JP" sz="1000">
              <a:solidFill>
                <a:schemeClr val="dk1"/>
              </a:solidFill>
              <a:effectLst/>
              <a:latin typeface="+mn-lt"/>
              <a:ea typeface="+mn-ea"/>
              <a:cs typeface="+mn-cs"/>
            </a:rPr>
            <a:t>②　当年度延べ利用子ども数</a:t>
          </a:r>
        </a:p>
        <a:p>
          <a:r>
            <a:rPr kumimoji="1" lang="ja-JP" altLang="ja-JP" sz="1000">
              <a:solidFill>
                <a:schemeClr val="dk1"/>
              </a:solidFill>
              <a:effectLst/>
              <a:latin typeface="+mn-lt"/>
              <a:ea typeface="+mn-ea"/>
              <a:cs typeface="+mn-cs"/>
            </a:rPr>
            <a:t>　前年度実績値をが自動入力される。</a:t>
          </a:r>
        </a:p>
        <a:p>
          <a:r>
            <a:rPr kumimoji="1" lang="ja-JP" altLang="ja-JP" sz="1000">
              <a:solidFill>
                <a:schemeClr val="dk1"/>
              </a:solidFill>
              <a:effectLst/>
              <a:latin typeface="+mn-lt"/>
              <a:ea typeface="+mn-ea"/>
              <a:cs typeface="+mn-cs"/>
            </a:rPr>
            <a:t>　留意事項通知上、前年度における実績等を踏まえて利用見込みを算出することとされている</a:t>
          </a:r>
        </a:p>
        <a:p>
          <a:r>
            <a:rPr kumimoji="1" lang="ja-JP" altLang="ja-JP" sz="1000">
              <a:solidFill>
                <a:schemeClr val="dk1"/>
              </a:solidFill>
              <a:effectLst/>
              <a:latin typeface="+mn-lt"/>
              <a:ea typeface="+mn-ea"/>
              <a:cs typeface="+mn-cs"/>
            </a:rPr>
            <a:t>③　理由の記載　</a:t>
          </a:r>
        </a:p>
        <a:p>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※6</a:t>
          </a:r>
          <a:r>
            <a:rPr kumimoji="1" lang="ja-JP" altLang="ja-JP" sz="1000">
              <a:solidFill>
                <a:schemeClr val="dk1"/>
              </a:solidFill>
              <a:effectLst/>
              <a:latin typeface="+mn-lt"/>
              <a:ea typeface="+mn-ea"/>
              <a:cs typeface="+mn-cs"/>
            </a:rPr>
            <a:t>のとおり、今年度の申し込み状況等に応じた見込とすることはできない。不適切な場合は理由の再記載又は当年度延べ利用子ども数の見直しを指示することがある。</a:t>
          </a:r>
        </a:p>
        <a:p>
          <a:endParaRPr lang="ja-JP" altLang="ja-JP" sz="800">
            <a:effectLst/>
          </a:endParaRPr>
        </a:p>
        <a:p>
          <a:r>
            <a:rPr kumimoji="1" lang="ja-JP" altLang="ja-JP" sz="1000">
              <a:solidFill>
                <a:schemeClr val="dk1"/>
              </a:solidFill>
              <a:effectLst/>
              <a:latin typeface="+mn-lt"/>
              <a:ea typeface="+mn-ea"/>
              <a:cs typeface="+mn-cs"/>
            </a:rPr>
            <a:t>　</a:t>
          </a:r>
          <a:endParaRPr lang="ja-JP" altLang="ja-JP" sz="800">
            <a:effectLst/>
          </a:endParaRPr>
        </a:p>
      </xdr:txBody>
    </xdr:sp>
    <xdr:clientData/>
  </xdr:twoCellAnchor>
  <xdr:twoCellAnchor>
    <xdr:from>
      <xdr:col>62</xdr:col>
      <xdr:colOff>19050</xdr:colOff>
      <xdr:row>232</xdr:row>
      <xdr:rowOff>38101</xdr:rowOff>
    </xdr:from>
    <xdr:to>
      <xdr:col>67</xdr:col>
      <xdr:colOff>257175</xdr:colOff>
      <xdr:row>250</xdr:row>
      <xdr:rowOff>295275</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1201400" y="42329101"/>
          <a:ext cx="3667125" cy="746759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参考</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児童福祉施設の設備及び運営に関する基準</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抜粋</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第</a:t>
          </a:r>
          <a:r>
            <a:rPr kumimoji="1" lang="en-US" altLang="ja-JP" sz="1000" b="1">
              <a:latin typeface="ＭＳ ゴシック" panose="020B0609070205080204" pitchFamily="49" charset="-128"/>
              <a:ea typeface="ＭＳ ゴシック" panose="020B0609070205080204" pitchFamily="49" charset="-128"/>
            </a:rPr>
            <a:t>33</a:t>
          </a:r>
          <a:r>
            <a:rPr kumimoji="1" lang="ja-JP" altLang="en-US" sz="1000" b="1">
              <a:latin typeface="ＭＳ ゴシック" panose="020B0609070205080204" pitchFamily="49" charset="-128"/>
              <a:ea typeface="ＭＳ ゴシック" panose="020B0609070205080204" pitchFamily="49" charset="-128"/>
            </a:rPr>
            <a:t>条</a:t>
          </a:r>
          <a:r>
            <a:rPr kumimoji="1" lang="en-US" altLang="ja-JP" sz="1000" b="1">
              <a:latin typeface="ＭＳ ゴシック" panose="020B0609070205080204" pitchFamily="49" charset="-128"/>
              <a:ea typeface="ＭＳ ゴシック" panose="020B0609070205080204" pitchFamily="49" charset="-128"/>
            </a:rPr>
            <a:t>2</a:t>
          </a:r>
          <a:r>
            <a:rPr kumimoji="1" lang="ja-JP" altLang="en-US" sz="1000" b="1">
              <a:latin typeface="ＭＳ ゴシック" panose="020B0609070205080204" pitchFamily="49" charset="-128"/>
              <a:ea typeface="ＭＳ ゴシック" panose="020B0609070205080204" pitchFamily="49" charset="-128"/>
            </a:rPr>
            <a:t>項</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保育士の数は、乳児おおむね</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歳以上満</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歳に満たない幼児おおむね</a:t>
          </a:r>
          <a:r>
            <a:rPr kumimoji="1" lang="en-US" altLang="ja-JP" sz="1000" b="0">
              <a:latin typeface="ＭＳ ゴシック" panose="020B0609070205080204" pitchFamily="49" charset="-128"/>
              <a:ea typeface="ＭＳ ゴシック" panose="020B0609070205080204" pitchFamily="49" charset="-128"/>
            </a:rPr>
            <a:t>6</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歳以上満</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歳に満たない幼児おおむね</a:t>
          </a:r>
          <a:r>
            <a:rPr kumimoji="1" lang="en-US" altLang="ja-JP" sz="1000" b="0">
              <a:latin typeface="ＭＳ ゴシック" panose="020B0609070205080204" pitchFamily="49" charset="-128"/>
              <a:ea typeface="ＭＳ ゴシック" panose="020B0609070205080204" pitchFamily="49" charset="-128"/>
            </a:rPr>
            <a:t>20</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歳以上の幼児おおむね</a:t>
          </a:r>
          <a:r>
            <a:rPr kumimoji="1" lang="en-US" altLang="ja-JP" sz="1000" b="0">
              <a:latin typeface="ＭＳ ゴシック" panose="020B0609070205080204" pitchFamily="49" charset="-128"/>
              <a:ea typeface="ＭＳ ゴシック" panose="020B0609070205080204" pitchFamily="49" charset="-128"/>
            </a:rPr>
            <a:t>30</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人以上とする。ただし、保育所</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につき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人を下ることはできない。</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94</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　</a:t>
          </a:r>
          <a:r>
            <a:rPr kumimoji="1" lang="en-US" altLang="ja-JP" sz="1000" b="0">
              <a:latin typeface="ＭＳ ゴシック" panose="020B0609070205080204" pitchFamily="49" charset="-128"/>
              <a:ea typeface="ＭＳ ゴシック" panose="020B0609070205080204" pitchFamily="49" charset="-128"/>
            </a:rPr>
            <a:t>&lt;</a:t>
          </a:r>
          <a:r>
            <a:rPr kumimoji="1" lang="ja-JP" altLang="en-US" sz="1000" b="0">
              <a:latin typeface="ＭＳ ゴシック" panose="020B0609070205080204" pitchFamily="49" charset="-128"/>
              <a:ea typeface="ＭＳ ゴシック" panose="020B0609070205080204" pitchFamily="49" charset="-128"/>
            </a:rPr>
            <a:t>一部省略</a:t>
          </a:r>
          <a:r>
            <a:rPr kumimoji="1" lang="en-US" altLang="ja-JP" sz="1000" b="0">
              <a:latin typeface="ＭＳ ゴシック" panose="020B0609070205080204" pitchFamily="49" charset="-128"/>
              <a:ea typeface="ＭＳ ゴシック" panose="020B0609070205080204" pitchFamily="49" charset="-128"/>
            </a:rPr>
            <a:t>&gt;</a:t>
          </a:r>
        </a:p>
        <a:p>
          <a:pPr algn="l"/>
          <a:r>
            <a:rPr kumimoji="1" lang="ja-JP" altLang="en-US" sz="1000" b="0">
              <a:latin typeface="ＭＳ ゴシック" panose="020B0609070205080204" pitchFamily="49" charset="-128"/>
              <a:ea typeface="ＭＳ ゴシック" panose="020B0609070205080204" pitchFamily="49" charset="-128"/>
            </a:rPr>
            <a:t>　当分の間、第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項ただし書きの規定を適用しないことができる。この場合において、同行本文の規定により必要な保育士が</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人となるときは、当該保育士に加えて、指定都市市長が保育士と同等の知識及び経験を有すると認めるものを置かなければならない。</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95</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前条の事情に鑑み、当分の間、第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項に規定する保育士の数の算定については、幼稚園教諭もしくは小学校教諭又は養護教諭の普通免許状を有するものを、保育士とみなすことができる。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96</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第</a:t>
          </a:r>
          <a:r>
            <a:rPr kumimoji="1" lang="en-US" altLang="ja-JP" sz="1000" b="0">
              <a:latin typeface="ＭＳ ゴシック" panose="020B0609070205080204" pitchFamily="49" charset="-128"/>
              <a:ea typeface="ＭＳ ゴシック" panose="020B0609070205080204" pitchFamily="49" charset="-128"/>
            </a:rPr>
            <a:t>94</a:t>
          </a:r>
          <a:r>
            <a:rPr kumimoji="1" lang="ja-JP" altLang="en-US" sz="1000" b="0">
              <a:latin typeface="ＭＳ ゴシック" panose="020B0609070205080204" pitchFamily="49" charset="-128"/>
              <a:ea typeface="ＭＳ ゴシック" panose="020B0609070205080204" pitchFamily="49" charset="-128"/>
            </a:rPr>
            <a:t>条の事情に鑑み、当分の間、</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日に月</a:t>
          </a:r>
          <a:r>
            <a:rPr kumimoji="1" lang="en-US" altLang="ja-JP" sz="1000" b="0">
              <a:latin typeface="ＭＳ ゴシック" panose="020B0609070205080204" pitchFamily="49" charset="-128"/>
              <a:ea typeface="ＭＳ ゴシック" panose="020B0609070205080204" pitchFamily="49" charset="-128"/>
            </a:rPr>
            <a:t>8</a:t>
          </a:r>
          <a:r>
            <a:rPr kumimoji="1" lang="ja-JP" altLang="en-US" sz="1000" b="0">
              <a:latin typeface="ＭＳ ゴシック" panose="020B0609070205080204" pitchFamily="49" charset="-128"/>
              <a:ea typeface="ＭＳ ゴシック" panose="020B0609070205080204" pitchFamily="49" charset="-128"/>
            </a:rPr>
            <a:t>時間を超えて開所する保育所において、開所時間を通じて必要となる保育士の総数が、当該保育所に係る利用定員の総数に応じて置かなければならない保育士の数を超える数の算定については、指定都市市長が保育士と同等の知識及び経験を有すると認めるものを、開所時間を通じて必要となる保育士の総数から利用定員の総数に応じて置かなければならない保育士の数を差し引いて得た数の範囲で、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97</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条の規定を適用するときは、保育士を、保育士の数（前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条の規定の適用が無いとした場合の第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項により算定されるものをいう）の</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分の</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以上、置かなければならない。</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児童福祉施設最低基準等の一部を改正する省令</a:t>
          </a:r>
          <a:r>
            <a:rPr kumimoji="1" lang="en-US" altLang="ja-JP" sz="1000" b="1">
              <a:latin typeface="ＭＳ ゴシック" panose="020B0609070205080204" pitchFamily="49" charset="-128"/>
              <a:ea typeface="ＭＳ ゴシック" panose="020B0609070205080204" pitchFamily="49" charset="-128"/>
            </a:rPr>
            <a:t>&lt;</a:t>
          </a:r>
          <a:r>
            <a:rPr kumimoji="1" lang="ja-JP" altLang="en-US" sz="1000" b="1">
              <a:latin typeface="ＭＳ ゴシック" panose="020B0609070205080204" pitchFamily="49" charset="-128"/>
              <a:ea typeface="ＭＳ ゴシック" panose="020B0609070205080204" pitchFamily="49" charset="-128"/>
            </a:rPr>
            <a:t>抜粋</a:t>
          </a:r>
          <a:r>
            <a:rPr kumimoji="1" lang="en-US" altLang="ja-JP" sz="1000" b="1">
              <a:latin typeface="ＭＳ ゴシック" panose="020B0609070205080204" pitchFamily="49" charset="-128"/>
              <a:ea typeface="ＭＳ ゴシック" panose="020B0609070205080204" pitchFamily="49" charset="-128"/>
            </a:rPr>
            <a:t>&gt;</a:t>
          </a:r>
        </a:p>
        <a:p>
          <a:pPr algn="l"/>
          <a:r>
            <a:rPr kumimoji="1" lang="ja-JP" altLang="en-US" sz="1000" b="1">
              <a:latin typeface="ＭＳ ゴシック" panose="020B0609070205080204" pitchFamily="49" charset="-128"/>
              <a:ea typeface="ＭＳ ゴシック" panose="020B0609070205080204" pitchFamily="49" charset="-128"/>
            </a:rPr>
            <a:t>附則第</a:t>
          </a:r>
          <a:r>
            <a:rPr kumimoji="1" lang="en-US" altLang="ja-JP" sz="1000" b="1">
              <a:latin typeface="ＭＳ ゴシック" panose="020B0609070205080204" pitchFamily="49" charset="-128"/>
              <a:ea typeface="ＭＳ ゴシック" panose="020B0609070205080204" pitchFamily="49" charset="-128"/>
            </a:rPr>
            <a:t>2</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乳児</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人以上を入所させる保育所にかかる改正後の第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項に規定する保育士の数の算定については、当分の間、当該保育所に勤務する保健師、看護師又は准看護師を</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人に限って、保育士とみなすことができる。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年月日年月日</a:t>
          </a:r>
          <a:endParaRPr kumimoji="1" lang="en-US" altLang="ja-JP" sz="1000" b="0">
            <a:latin typeface="ＭＳ ゴシック" panose="020B0609070205080204" pitchFamily="49" charset="-128"/>
            <a:ea typeface="ＭＳ ゴシック" panose="020B0609070205080204" pitchFamily="49" charset="-128"/>
          </a:endParaRPr>
        </a:p>
      </xdr:txBody>
    </xdr:sp>
    <xdr:clientData/>
  </xdr:twoCellAnchor>
  <xdr:twoCellAnchor>
    <xdr:from>
      <xdr:col>62</xdr:col>
      <xdr:colOff>100853</xdr:colOff>
      <xdr:row>216</xdr:row>
      <xdr:rowOff>152400</xdr:rowOff>
    </xdr:from>
    <xdr:to>
      <xdr:col>67</xdr:col>
      <xdr:colOff>238125</xdr:colOff>
      <xdr:row>224</xdr:row>
      <xdr:rowOff>1019175</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31275618" y="38667018"/>
          <a:ext cx="3555066" cy="251403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副食費徴収免除加算</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補足</a:t>
          </a:r>
          <a:r>
            <a:rPr kumimoji="1" lang="en-US" altLang="ja-JP" sz="1000" b="1">
              <a:latin typeface="ＭＳ ゴシック" panose="020B0609070205080204" pitchFamily="49" charset="-128"/>
              <a:ea typeface="ＭＳ ゴシック" panose="020B0609070205080204" pitchFamily="49" charset="-128"/>
            </a:rPr>
            <a:t>)】</a:t>
          </a:r>
        </a:p>
        <a:p>
          <a:r>
            <a:rPr lang="ja-JP" altLang="en-US" sz="1100">
              <a:solidFill>
                <a:schemeClr val="dk1"/>
              </a:solidFill>
              <a:effectLst/>
              <a:latin typeface="+mn-lt"/>
              <a:ea typeface="+mn-ea"/>
              <a:cs typeface="+mn-cs"/>
            </a:rPr>
            <a:t>一時預かり児童のみ給食を提供している日は含みません。</a:t>
          </a:r>
          <a:r>
            <a:rPr lang="ja-JP" altLang="ja-JP" sz="1100">
              <a:solidFill>
                <a:schemeClr val="dk1"/>
              </a:solidFill>
              <a:effectLst/>
              <a:latin typeface="+mn-lt"/>
              <a:ea typeface="+mn-ea"/>
              <a:cs typeface="+mn-cs"/>
            </a:rPr>
            <a:t>　　　ただし、通常教育児童と預かり保育児童の両方に提供する日は含めることができます。</a:t>
          </a:r>
        </a:p>
        <a:p>
          <a:r>
            <a:rPr lang="ja-JP" altLang="ja-JP" sz="1100">
              <a:solidFill>
                <a:schemeClr val="dk1"/>
              </a:solidFill>
              <a:effectLst/>
              <a:latin typeface="+mn-lt"/>
              <a:ea typeface="+mn-ea"/>
              <a:cs typeface="+mn-cs"/>
            </a:rPr>
            <a:t>公定価格ＦＡＱ問</a:t>
          </a:r>
          <a:r>
            <a:rPr lang="en-US" altLang="ja-JP" sz="1100">
              <a:solidFill>
                <a:schemeClr val="dk1"/>
              </a:solidFill>
              <a:effectLst/>
              <a:latin typeface="+mn-lt"/>
              <a:ea typeface="+mn-ea"/>
              <a:cs typeface="+mn-cs"/>
            </a:rPr>
            <a:t>143</a:t>
          </a:r>
          <a:r>
            <a:rPr lang="ja-JP" altLang="ja-JP" sz="1100">
              <a:solidFill>
                <a:schemeClr val="dk1"/>
              </a:solidFill>
              <a:effectLst/>
              <a:latin typeface="+mn-lt"/>
              <a:ea typeface="+mn-ea"/>
              <a:cs typeface="+mn-cs"/>
            </a:rPr>
            <a:t>に取り扱いが記載されています。</a:t>
          </a:r>
        </a:p>
        <a:p>
          <a:r>
            <a:rPr lang="ja-JP" altLang="ja-JP" sz="1100">
              <a:solidFill>
                <a:schemeClr val="dk1"/>
              </a:solidFill>
              <a:effectLst/>
              <a:latin typeface="+mn-lt"/>
              <a:ea typeface="+mn-ea"/>
              <a:cs typeface="+mn-cs"/>
            </a:rPr>
            <a:t>↓公定価格ＦＡＱ</a:t>
          </a:r>
          <a:r>
            <a:rPr lang="en-US" altLang="ja-JP" sz="1100">
              <a:solidFill>
                <a:schemeClr val="dk1"/>
              </a:solidFill>
              <a:effectLst/>
              <a:latin typeface="+mn-lt"/>
              <a:ea typeface="+mn-ea"/>
              <a:cs typeface="+mn-cs"/>
            </a:rPr>
            <a:t>Ver14</a:t>
          </a:r>
          <a:r>
            <a:rPr lang="ja-JP" altLang="ja-JP" sz="1100">
              <a:solidFill>
                <a:schemeClr val="dk1"/>
              </a:solidFill>
              <a:effectLst/>
              <a:latin typeface="+mn-lt"/>
              <a:ea typeface="+mn-ea"/>
              <a:cs typeface="+mn-cs"/>
            </a:rPr>
            <a:t>の在りか</a:t>
          </a:r>
        </a:p>
        <a:p>
          <a:r>
            <a:rPr lang="en-US" altLang="ja-JP" sz="1100" u="sng">
              <a:solidFill>
                <a:schemeClr val="dk1"/>
              </a:solidFill>
              <a:effectLst/>
              <a:latin typeface="+mn-lt"/>
              <a:ea typeface="+mn-ea"/>
              <a:cs typeface="+mn-cs"/>
              <a:hlinkClick xmlns:r="http://schemas.openxmlformats.org/officeDocument/2006/relationships" r:id=""/>
            </a:rPr>
            <a:t>https://www8.cao.go.jp/shoushi/shinseido/administer/qa/index.html</a:t>
          </a:r>
          <a:endParaRPr lang="ja-JP" altLang="ja-JP" sz="1100">
            <a:solidFill>
              <a:schemeClr val="dk1"/>
            </a:solidFill>
            <a:effectLst/>
            <a:latin typeface="+mn-lt"/>
            <a:ea typeface="+mn-ea"/>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36</xdr:col>
      <xdr:colOff>657225</xdr:colOff>
      <xdr:row>32</xdr:row>
      <xdr:rowOff>66675</xdr:rowOff>
    </xdr:from>
    <xdr:to>
      <xdr:col>39</xdr:col>
      <xdr:colOff>10646</xdr:colOff>
      <xdr:row>37</xdr:row>
      <xdr:rowOff>95811</xdr:rowOff>
    </xdr:to>
    <xdr:sp macro="" textlink="">
      <xdr:nvSpPr>
        <xdr:cNvPr id="4" name="吹き出し: 四角形 3">
          <a:extLst>
            <a:ext uri="{FF2B5EF4-FFF2-40B4-BE49-F238E27FC236}">
              <a16:creationId xmlns:a16="http://schemas.microsoft.com/office/drawing/2014/main" id="{9A846CBB-2766-4CFC-8576-BFA6AC1BEAA5}"/>
            </a:ext>
          </a:extLst>
        </xdr:cNvPr>
        <xdr:cNvSpPr/>
      </xdr:nvSpPr>
      <xdr:spPr>
        <a:xfrm>
          <a:off x="13249275" y="5543550"/>
          <a:ext cx="1658471" cy="829236"/>
        </a:xfrm>
        <a:prstGeom prst="wedgeRectCallout">
          <a:avLst>
            <a:gd name="adj1" fmla="val 20206"/>
            <a:gd name="adj2" fmla="val -87087"/>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作業　申請月を選ぶと自動的に提出日が表示されるよう修正</a:t>
          </a:r>
        </a:p>
      </xdr:txBody>
    </xdr:sp>
    <xdr:clientData/>
  </xdr:twoCellAnchor>
  <xdr:twoCellAnchor>
    <xdr:from>
      <xdr:col>2</xdr:col>
      <xdr:colOff>201082</xdr:colOff>
      <xdr:row>1</xdr:row>
      <xdr:rowOff>179917</xdr:rowOff>
    </xdr:from>
    <xdr:to>
      <xdr:col>30</xdr:col>
      <xdr:colOff>158749</xdr:colOff>
      <xdr:row>8</xdr:row>
      <xdr:rowOff>116416</xdr:rowOff>
    </xdr:to>
    <xdr:sp macro="" textlink="">
      <xdr:nvSpPr>
        <xdr:cNvPr id="2" name="テキスト ボックス 1">
          <a:extLst>
            <a:ext uri="{FF2B5EF4-FFF2-40B4-BE49-F238E27FC236}">
              <a16:creationId xmlns:a16="http://schemas.microsoft.com/office/drawing/2014/main" id="{D17678BD-954F-4795-95BA-28D81D0E03AA}"/>
            </a:ext>
          </a:extLst>
        </xdr:cNvPr>
        <xdr:cNvSpPr txBox="1"/>
      </xdr:nvSpPr>
      <xdr:spPr>
        <a:xfrm>
          <a:off x="645582" y="370417"/>
          <a:ext cx="6402917" cy="1195916"/>
        </a:xfrm>
        <a:prstGeom prst="rect">
          <a:avLst/>
        </a:prstGeom>
        <a:solidFill>
          <a:schemeClr val="accent3">
            <a:alpha val="3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a:t>試　算　様　式</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33618</xdr:colOff>
      <xdr:row>0</xdr:row>
      <xdr:rowOff>0</xdr:rowOff>
    </xdr:from>
    <xdr:to>
      <xdr:col>9</xdr:col>
      <xdr:colOff>3776942</xdr:colOff>
      <xdr:row>6</xdr:row>
      <xdr:rowOff>38100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8763000" y="0"/>
          <a:ext cx="3743324" cy="118110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9</xdr:col>
      <xdr:colOff>70037</xdr:colOff>
      <xdr:row>7</xdr:row>
      <xdr:rowOff>0</xdr:rowOff>
    </xdr:from>
    <xdr:to>
      <xdr:col>9</xdr:col>
      <xdr:colOff>3737162</xdr:colOff>
      <xdr:row>24</xdr:row>
      <xdr:rowOff>95250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8799419" y="1466850"/>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基本情報</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加算担当職員の情報を入力</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学歴</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高等学校～現在に係る学歴を入力</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職歴</a:t>
          </a:r>
          <a:r>
            <a:rPr kumimoji="1" lang="en-US" altLang="ja-JP" sz="1000" b="1">
              <a:latin typeface="ＭＳ ゴシック" panose="020B0609070205080204" pitchFamily="49" charset="-128"/>
              <a:ea typeface="ＭＳ ゴシック" panose="020B0609070205080204" pitchFamily="49" charset="-128"/>
            </a:rPr>
            <a:t>】</a:t>
          </a: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加算申請時点までの経歴をすること。</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また、必ず現在の施設で施設長に就任した年月を記載すること。</a:t>
          </a:r>
          <a:endParaRPr lang="ja-JP" altLang="ja-JP" sz="1000">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資格</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加算申請時点で有効な資格を記載すること。</a:t>
          </a:r>
          <a:endParaRPr lang="ja-JP" altLang="ja-JP" sz="1000">
            <a:effectLst/>
            <a:latin typeface="ＭＳ ゴシック" panose="020B0609070205080204" pitchFamily="49" charset="-128"/>
            <a:ea typeface="ＭＳ ゴシック" panose="020B0609070205080204" pitchFamily="49" charset="-128"/>
          </a:endParaRPr>
        </a:p>
        <a:p>
          <a:endParaRPr kumimoji="1" lang="en-US" altLang="ja-JP" sz="1100" b="1">
            <a:solidFill>
              <a:schemeClr val="dk1"/>
            </a:solidFill>
            <a:effectLst/>
            <a:latin typeface="+mn-lt"/>
            <a:ea typeface="+mn-ea"/>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39782</xdr:colOff>
      <xdr:row>53</xdr:row>
      <xdr:rowOff>72838</xdr:rowOff>
    </xdr:from>
    <xdr:to>
      <xdr:col>9</xdr:col>
      <xdr:colOff>3706907</xdr:colOff>
      <xdr:row>71</xdr:row>
      <xdr:rowOff>34738</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8769164" y="10359838"/>
          <a:ext cx="3667125" cy="33909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施設名</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同一又は系列法人内で運営する保育・教育施設の全てを記載</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なお、認可の有無は問いませんのでご注意ください。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本務・兼務</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0">
              <a:latin typeface="ＭＳ ゴシック" panose="020B0609070205080204" pitchFamily="49" charset="-128"/>
              <a:ea typeface="ＭＳ ゴシック" panose="020B0609070205080204" pitchFamily="49" charset="-128"/>
            </a:rPr>
            <a:t>本務・兼務の状況を記載</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施設長名</a:t>
          </a:r>
          <a:r>
            <a:rPr kumimoji="1" lang="en-US" altLang="ja-JP" sz="1000" b="1">
              <a:latin typeface="ＭＳ ゴシック" panose="020B0609070205080204" pitchFamily="49" charset="-128"/>
              <a:ea typeface="ＭＳ ゴシック" panose="020B0609070205080204" pitchFamily="49" charset="-128"/>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施設長名を記載</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　施設で作成している資料</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同様の内容を記載</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を代わりに提出していただくことも可能です。</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86121</xdr:colOff>
      <xdr:row>0</xdr:row>
      <xdr:rowOff>0</xdr:rowOff>
    </xdr:from>
    <xdr:to>
      <xdr:col>8</xdr:col>
      <xdr:colOff>3809999</xdr:colOff>
      <xdr:row>6</xdr:row>
      <xdr:rowOff>38100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9125346" y="0"/>
          <a:ext cx="3723878" cy="119062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8</xdr:col>
      <xdr:colOff>104775</xdr:colOff>
      <xdr:row>6</xdr:row>
      <xdr:rowOff>104774</xdr:rowOff>
    </xdr:from>
    <xdr:to>
      <xdr:col>8</xdr:col>
      <xdr:colOff>3810000</xdr:colOff>
      <xdr:row>30</xdr:row>
      <xdr:rowOff>22412</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9136716" y="1583950"/>
          <a:ext cx="3705225" cy="558781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当該月の利用見込み</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当該月の利用児童の見込み数を入力してください。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なお、様式</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－申請月を変更することで、土曜日・日にち・平日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祝日が自動表記されます。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また、土曜日が祝日の場合は減算対象から除外されます。</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減算区分</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①　</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日：対象の土曜日が</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日以上有りかつ</a:t>
          </a:r>
          <a:r>
            <a:rPr kumimoji="1" lang="en-US" altLang="ja-JP" sz="1000">
              <a:latin typeface="ＭＳ ゴシック" panose="020B0609070205080204" pitchFamily="49" charset="-128"/>
              <a:ea typeface="ＭＳ ゴシック" panose="020B0609070205080204" pitchFamily="49" charset="-128"/>
            </a:rPr>
            <a:t>1</a:t>
          </a:r>
          <a:r>
            <a:rPr kumimoji="1" lang="ja-JP" altLang="en-US" sz="1000">
              <a:latin typeface="ＭＳ ゴシック" panose="020B0609070205080204" pitchFamily="49" charset="-128"/>
              <a:ea typeface="ＭＳ ゴシック" panose="020B0609070205080204" pitchFamily="49" charset="-128"/>
            </a:rPr>
            <a:t>日が閉所日</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②　</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日：対象の土曜日が</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日以上有りかつ</a:t>
          </a:r>
          <a:r>
            <a:rPr kumimoji="1" lang="en-US" altLang="ja-JP" sz="1000">
              <a:latin typeface="ＭＳ ゴシック" panose="020B0609070205080204" pitchFamily="49" charset="-128"/>
              <a:ea typeface="ＭＳ ゴシック" panose="020B0609070205080204" pitchFamily="49" charset="-128"/>
            </a:rPr>
            <a:t>2</a:t>
          </a:r>
          <a:r>
            <a:rPr kumimoji="1" lang="ja-JP" altLang="en-US" sz="1000">
              <a:latin typeface="ＭＳ ゴシック" panose="020B0609070205080204" pitchFamily="49" charset="-128"/>
              <a:ea typeface="ＭＳ ゴシック" panose="020B0609070205080204" pitchFamily="49" charset="-128"/>
            </a:rPr>
            <a:t>日が閉所日</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③　</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日以上：対象の土曜日が</a:t>
          </a:r>
          <a:r>
            <a:rPr kumimoji="1" lang="en-US" altLang="ja-JP" sz="1000">
              <a:latin typeface="ＭＳ ゴシック" panose="020B0609070205080204" pitchFamily="49" charset="-128"/>
              <a:ea typeface="ＭＳ ゴシック" panose="020B0609070205080204" pitchFamily="49" charset="-128"/>
            </a:rPr>
            <a:t>4</a:t>
          </a:r>
          <a:r>
            <a:rPr kumimoji="1" lang="ja-JP" altLang="en-US" sz="1000">
              <a:latin typeface="ＭＳ ゴシック" panose="020B0609070205080204" pitchFamily="49" charset="-128"/>
              <a:ea typeface="ＭＳ ゴシック" panose="020B0609070205080204" pitchFamily="49" charset="-128"/>
            </a:rPr>
            <a:t>日以上有りかつ</a:t>
          </a:r>
          <a:r>
            <a:rPr kumimoji="1" lang="en-US" altLang="ja-JP" sz="1000">
              <a:latin typeface="ＭＳ ゴシック" panose="020B0609070205080204" pitchFamily="49" charset="-128"/>
              <a:ea typeface="ＭＳ ゴシック" panose="020B0609070205080204" pitchFamily="49" charset="-128"/>
            </a:rPr>
            <a:t>3</a:t>
          </a:r>
          <a:r>
            <a:rPr kumimoji="1" lang="ja-JP" altLang="en-US" sz="1000">
              <a:latin typeface="ＭＳ ゴシック" panose="020B0609070205080204" pitchFamily="49" charset="-128"/>
              <a:ea typeface="ＭＳ ゴシック" panose="020B0609070205080204" pitchFamily="49" charset="-128"/>
            </a:rPr>
            <a:t>日以上が閉所日</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④　全て：対象の土曜日と閉所日が同一</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前月の利用実績</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rPr>
            <a:t>】</a:t>
          </a: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前月の申請書で記載した利用見込み数と実績数をそれぞれ入力してください。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最終的には実績により減算区分を決定します。既に概算等が終了している場合は各期精算又は第</a:t>
          </a:r>
          <a:r>
            <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四半期精算で精算させていただきます。</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120651</xdr:colOff>
      <xdr:row>0</xdr:row>
      <xdr:rowOff>57149</xdr:rowOff>
    </xdr:from>
    <xdr:to>
      <xdr:col>27</xdr:col>
      <xdr:colOff>3311526</xdr:colOff>
      <xdr:row>45</xdr:row>
      <xdr:rowOff>21166</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862234" y="57149"/>
          <a:ext cx="3190875" cy="8441267"/>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参考</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児童福祉施設の設備及び運営に関する基準</a:t>
          </a:r>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抜粋</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第</a:t>
          </a:r>
          <a:r>
            <a:rPr kumimoji="1" lang="en-US" altLang="ja-JP" sz="1000" b="1">
              <a:latin typeface="ＭＳ ゴシック" panose="020B0609070205080204" pitchFamily="49" charset="-128"/>
              <a:ea typeface="ＭＳ ゴシック" panose="020B0609070205080204" pitchFamily="49" charset="-128"/>
            </a:rPr>
            <a:t>33</a:t>
          </a:r>
          <a:r>
            <a:rPr kumimoji="1" lang="ja-JP" altLang="en-US" sz="1000" b="1">
              <a:latin typeface="ＭＳ ゴシック" panose="020B0609070205080204" pitchFamily="49" charset="-128"/>
              <a:ea typeface="ＭＳ ゴシック" panose="020B0609070205080204" pitchFamily="49" charset="-128"/>
            </a:rPr>
            <a:t>条</a:t>
          </a:r>
          <a:r>
            <a:rPr kumimoji="1" lang="en-US" altLang="ja-JP" sz="1000" b="1">
              <a:latin typeface="ＭＳ ゴシック" panose="020B0609070205080204" pitchFamily="49" charset="-128"/>
              <a:ea typeface="ＭＳ ゴシック" panose="020B0609070205080204" pitchFamily="49" charset="-128"/>
            </a:rPr>
            <a:t>2</a:t>
          </a:r>
          <a:r>
            <a:rPr kumimoji="1" lang="ja-JP" altLang="en-US" sz="1000" b="1">
              <a:latin typeface="ＭＳ ゴシック" panose="020B0609070205080204" pitchFamily="49" charset="-128"/>
              <a:ea typeface="ＭＳ ゴシック" panose="020B0609070205080204" pitchFamily="49" charset="-128"/>
            </a:rPr>
            <a:t>項</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保育士の数は、乳児おおむね</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歳以上満</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歳に満たない幼児おおむね</a:t>
          </a:r>
          <a:r>
            <a:rPr kumimoji="1" lang="en-US" altLang="ja-JP" sz="1000" b="0">
              <a:latin typeface="ＭＳ ゴシック" panose="020B0609070205080204" pitchFamily="49" charset="-128"/>
              <a:ea typeface="ＭＳ ゴシック" panose="020B0609070205080204" pitchFamily="49" charset="-128"/>
            </a:rPr>
            <a:t>6</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歳以上満</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歳に満たない幼児おおむね</a:t>
          </a:r>
          <a:r>
            <a:rPr kumimoji="1" lang="en-US" altLang="ja-JP" sz="1000" b="0">
              <a:latin typeface="ＭＳ ゴシック" panose="020B0609070205080204" pitchFamily="49" charset="-128"/>
              <a:ea typeface="ＭＳ ゴシック" panose="020B0609070205080204" pitchFamily="49" charset="-128"/>
            </a:rPr>
            <a:t>20</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人以上、満</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歳以上の幼児おおむね</a:t>
          </a:r>
          <a:r>
            <a:rPr kumimoji="1" lang="en-US" altLang="ja-JP" sz="1000" b="0">
              <a:latin typeface="ＭＳ ゴシック" panose="020B0609070205080204" pitchFamily="49" charset="-128"/>
              <a:ea typeface="ＭＳ ゴシック" panose="020B0609070205080204" pitchFamily="49" charset="-128"/>
            </a:rPr>
            <a:t>30</a:t>
          </a:r>
          <a:r>
            <a:rPr kumimoji="1" lang="ja-JP" altLang="en-US" sz="1000" b="0">
              <a:latin typeface="ＭＳ ゴシック" panose="020B0609070205080204" pitchFamily="49" charset="-128"/>
              <a:ea typeface="ＭＳ ゴシック" panose="020B0609070205080204" pitchFamily="49" charset="-128"/>
            </a:rPr>
            <a:t>人につき</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人以上とする。ただし、保育所</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につき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人を下ることはできない。</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94</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　</a:t>
          </a:r>
          <a:r>
            <a:rPr kumimoji="1" lang="en-US" altLang="ja-JP" sz="1000" b="0">
              <a:latin typeface="ＭＳ ゴシック" panose="020B0609070205080204" pitchFamily="49" charset="-128"/>
              <a:ea typeface="ＭＳ ゴシック" panose="020B0609070205080204" pitchFamily="49" charset="-128"/>
            </a:rPr>
            <a:t>&lt;</a:t>
          </a:r>
          <a:r>
            <a:rPr kumimoji="1" lang="ja-JP" altLang="en-US" sz="1000" b="0">
              <a:latin typeface="ＭＳ ゴシック" panose="020B0609070205080204" pitchFamily="49" charset="-128"/>
              <a:ea typeface="ＭＳ ゴシック" panose="020B0609070205080204" pitchFamily="49" charset="-128"/>
            </a:rPr>
            <a:t>一部省略</a:t>
          </a:r>
          <a:r>
            <a:rPr kumimoji="1" lang="en-US" altLang="ja-JP" sz="1000" b="0">
              <a:latin typeface="ＭＳ ゴシック" panose="020B0609070205080204" pitchFamily="49" charset="-128"/>
              <a:ea typeface="ＭＳ ゴシック" panose="020B0609070205080204" pitchFamily="49" charset="-128"/>
            </a:rPr>
            <a:t>&gt;</a:t>
          </a:r>
        </a:p>
        <a:p>
          <a:pPr algn="l"/>
          <a:r>
            <a:rPr kumimoji="1" lang="ja-JP" altLang="en-US" sz="1000" b="0">
              <a:latin typeface="ＭＳ ゴシック" panose="020B0609070205080204" pitchFamily="49" charset="-128"/>
              <a:ea typeface="ＭＳ ゴシック" panose="020B0609070205080204" pitchFamily="49" charset="-128"/>
            </a:rPr>
            <a:t>　当分の間、第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項ただし書きの規定を適用しないことができる。この場合において、同行本文の規定により必要な保育士が</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人となるときは、当該保育士に加えて、指定都市市長が保育士と同等の知識及び経験を有すると認めるものを置かなければならない。</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95</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前条の事情に鑑み、当分の間、第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項に規定する保育士の数の算定については、幼稚園教諭もしくは小学校教諭又は養護教諭の普通免許状を有するものを、保育士とみなすことができる。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96</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第</a:t>
          </a:r>
          <a:r>
            <a:rPr kumimoji="1" lang="en-US" altLang="ja-JP" sz="1000" b="0">
              <a:latin typeface="ＭＳ ゴシック" panose="020B0609070205080204" pitchFamily="49" charset="-128"/>
              <a:ea typeface="ＭＳ ゴシック" panose="020B0609070205080204" pitchFamily="49" charset="-128"/>
            </a:rPr>
            <a:t>94</a:t>
          </a:r>
          <a:r>
            <a:rPr kumimoji="1" lang="ja-JP" altLang="en-US" sz="1000" b="0">
              <a:latin typeface="ＭＳ ゴシック" panose="020B0609070205080204" pitchFamily="49" charset="-128"/>
              <a:ea typeface="ＭＳ ゴシック" panose="020B0609070205080204" pitchFamily="49" charset="-128"/>
            </a:rPr>
            <a:t>条の事情に鑑み、当分の間、</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日に月</a:t>
          </a:r>
          <a:r>
            <a:rPr kumimoji="1" lang="en-US" altLang="ja-JP" sz="1000" b="0">
              <a:latin typeface="ＭＳ ゴシック" panose="020B0609070205080204" pitchFamily="49" charset="-128"/>
              <a:ea typeface="ＭＳ ゴシック" panose="020B0609070205080204" pitchFamily="49" charset="-128"/>
            </a:rPr>
            <a:t>8</a:t>
          </a:r>
          <a:r>
            <a:rPr kumimoji="1" lang="ja-JP" altLang="en-US" sz="1000" b="0">
              <a:latin typeface="ＭＳ ゴシック" panose="020B0609070205080204" pitchFamily="49" charset="-128"/>
              <a:ea typeface="ＭＳ ゴシック" panose="020B0609070205080204" pitchFamily="49" charset="-128"/>
            </a:rPr>
            <a:t>時間を超えて開所する保育所において、開所時間を通じて必要となる保育士の総数が、当該保育所に係る利用定員の総数に応じて置かなければならない保育士の数を超える数の算定については、指定都市市長が保育士と同等の知識及び経験を有すると認めるものを、開所時間を通じて必要となる保育士の総数から利用定員の総数に応じて置かなければならない保育士の数を差し引いて得た数の範囲で、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附則</a:t>
          </a:r>
          <a:r>
            <a:rPr kumimoji="1" lang="en-US" altLang="ja-JP" sz="1000" b="1">
              <a:latin typeface="ＭＳ ゴシック" panose="020B0609070205080204" pitchFamily="49" charset="-128"/>
              <a:ea typeface="ＭＳ ゴシック" panose="020B0609070205080204" pitchFamily="49" charset="-128"/>
            </a:rPr>
            <a:t>97</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条の規定を適用するときは、保育士を、保育士の数（前</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条の規定の適用が無いとした場合の第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項により算定されるものをいう）の</a:t>
          </a:r>
          <a:r>
            <a:rPr kumimoji="1" lang="en-US" altLang="ja-JP" sz="1000" b="0">
              <a:latin typeface="ＭＳ ゴシック" panose="020B0609070205080204" pitchFamily="49" charset="-128"/>
              <a:ea typeface="ＭＳ ゴシック" panose="020B0609070205080204" pitchFamily="49" charset="-128"/>
            </a:rPr>
            <a:t>3</a:t>
          </a:r>
          <a:r>
            <a:rPr kumimoji="1" lang="ja-JP" altLang="en-US" sz="1000" b="0">
              <a:latin typeface="ＭＳ ゴシック" panose="020B0609070205080204" pitchFamily="49" charset="-128"/>
              <a:ea typeface="ＭＳ ゴシック" panose="020B0609070205080204" pitchFamily="49" charset="-128"/>
            </a:rPr>
            <a:t>分の</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以上、置かなければならない。</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a:p>
          <a:pPr algn="l"/>
          <a:r>
            <a:rPr kumimoji="1" lang="ja-JP" altLang="en-US" sz="1000" b="1">
              <a:latin typeface="ＭＳ ゴシック" panose="020B0609070205080204" pitchFamily="49" charset="-128"/>
              <a:ea typeface="ＭＳ ゴシック" panose="020B0609070205080204" pitchFamily="49" charset="-128"/>
            </a:rPr>
            <a:t>児童福祉施設最低基準等の一部を改正する省令</a:t>
          </a:r>
          <a:r>
            <a:rPr kumimoji="1" lang="en-US" altLang="ja-JP" sz="1000" b="1">
              <a:latin typeface="ＭＳ ゴシック" panose="020B0609070205080204" pitchFamily="49" charset="-128"/>
              <a:ea typeface="ＭＳ ゴシック" panose="020B0609070205080204" pitchFamily="49" charset="-128"/>
            </a:rPr>
            <a:t>&lt;</a:t>
          </a:r>
          <a:r>
            <a:rPr kumimoji="1" lang="ja-JP" altLang="en-US" sz="1000" b="1">
              <a:latin typeface="ＭＳ ゴシック" panose="020B0609070205080204" pitchFamily="49" charset="-128"/>
              <a:ea typeface="ＭＳ ゴシック" panose="020B0609070205080204" pitchFamily="49" charset="-128"/>
            </a:rPr>
            <a:t>抜粋</a:t>
          </a:r>
          <a:r>
            <a:rPr kumimoji="1" lang="en-US" altLang="ja-JP" sz="1000" b="1">
              <a:latin typeface="ＭＳ ゴシック" panose="020B0609070205080204" pitchFamily="49" charset="-128"/>
              <a:ea typeface="ＭＳ ゴシック" panose="020B0609070205080204" pitchFamily="49" charset="-128"/>
            </a:rPr>
            <a:t>&gt;</a:t>
          </a:r>
        </a:p>
        <a:p>
          <a:pPr algn="l"/>
          <a:r>
            <a:rPr kumimoji="1" lang="ja-JP" altLang="en-US" sz="1000" b="1">
              <a:latin typeface="ＭＳ ゴシック" panose="020B0609070205080204" pitchFamily="49" charset="-128"/>
              <a:ea typeface="ＭＳ ゴシック" panose="020B0609070205080204" pitchFamily="49" charset="-128"/>
            </a:rPr>
            <a:t>附則第</a:t>
          </a:r>
          <a:r>
            <a:rPr kumimoji="1" lang="en-US" altLang="ja-JP" sz="1000" b="1">
              <a:latin typeface="ＭＳ ゴシック" panose="020B0609070205080204" pitchFamily="49" charset="-128"/>
              <a:ea typeface="ＭＳ ゴシック" panose="020B0609070205080204" pitchFamily="49" charset="-128"/>
            </a:rPr>
            <a:t>2</a:t>
          </a:r>
          <a:r>
            <a:rPr kumimoji="1" lang="ja-JP" altLang="en-US" sz="1000" b="1">
              <a:latin typeface="ＭＳ ゴシック" panose="020B0609070205080204" pitchFamily="49" charset="-128"/>
              <a:ea typeface="ＭＳ ゴシック" panose="020B0609070205080204" pitchFamily="49" charset="-128"/>
            </a:rPr>
            <a:t>条</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b="0">
              <a:latin typeface="ＭＳ ゴシック" panose="020B0609070205080204" pitchFamily="49" charset="-128"/>
              <a:ea typeface="ＭＳ ゴシック" panose="020B0609070205080204" pitchFamily="49" charset="-128"/>
            </a:rPr>
            <a:t>　乳児</a:t>
          </a:r>
          <a:r>
            <a:rPr kumimoji="1" lang="en-US" altLang="ja-JP" sz="1000" b="0">
              <a:latin typeface="ＭＳ ゴシック" panose="020B0609070205080204" pitchFamily="49" charset="-128"/>
              <a:ea typeface="ＭＳ ゴシック" panose="020B0609070205080204" pitchFamily="49" charset="-128"/>
            </a:rPr>
            <a:t>4</a:t>
          </a:r>
          <a:r>
            <a:rPr kumimoji="1" lang="ja-JP" altLang="en-US" sz="1000" b="0">
              <a:latin typeface="ＭＳ ゴシック" panose="020B0609070205080204" pitchFamily="49" charset="-128"/>
              <a:ea typeface="ＭＳ ゴシック" panose="020B0609070205080204" pitchFamily="49" charset="-128"/>
            </a:rPr>
            <a:t>人以上を入所させる保育所にかかる改正後の第</a:t>
          </a:r>
          <a:r>
            <a:rPr kumimoji="1" lang="en-US" altLang="ja-JP" sz="1000" b="0">
              <a:latin typeface="ＭＳ ゴシック" panose="020B0609070205080204" pitchFamily="49" charset="-128"/>
              <a:ea typeface="ＭＳ ゴシック" panose="020B0609070205080204" pitchFamily="49" charset="-128"/>
            </a:rPr>
            <a:t>33</a:t>
          </a:r>
          <a:r>
            <a:rPr kumimoji="1" lang="ja-JP" altLang="en-US" sz="1000" b="0">
              <a:latin typeface="ＭＳ ゴシック" panose="020B0609070205080204" pitchFamily="49" charset="-128"/>
              <a:ea typeface="ＭＳ ゴシック" panose="020B0609070205080204" pitchFamily="49" charset="-128"/>
            </a:rPr>
            <a:t>条第</a:t>
          </a:r>
          <a:r>
            <a:rPr kumimoji="1" lang="en-US" altLang="ja-JP" sz="1000" b="0">
              <a:latin typeface="ＭＳ ゴシック" panose="020B0609070205080204" pitchFamily="49" charset="-128"/>
              <a:ea typeface="ＭＳ ゴシック" panose="020B0609070205080204" pitchFamily="49" charset="-128"/>
            </a:rPr>
            <a:t>2</a:t>
          </a:r>
          <a:r>
            <a:rPr kumimoji="1" lang="ja-JP" altLang="en-US" sz="1000" b="0">
              <a:latin typeface="ＭＳ ゴシック" panose="020B0609070205080204" pitchFamily="49" charset="-128"/>
              <a:ea typeface="ＭＳ ゴシック" panose="020B0609070205080204" pitchFamily="49" charset="-128"/>
            </a:rPr>
            <a:t>項に規定する保育士の数の算定については、当分の間、当該保育所に勤務する保健師、看護師又は准看護師を</a:t>
          </a:r>
          <a:r>
            <a:rPr kumimoji="1" lang="en-US" altLang="ja-JP" sz="1000" b="0">
              <a:latin typeface="ＭＳ ゴシック" panose="020B0609070205080204" pitchFamily="49" charset="-128"/>
              <a:ea typeface="ＭＳ ゴシック" panose="020B0609070205080204" pitchFamily="49" charset="-128"/>
            </a:rPr>
            <a:t>1</a:t>
          </a:r>
          <a:r>
            <a:rPr kumimoji="1" lang="ja-JP" altLang="en-US" sz="1000" b="0">
              <a:latin typeface="ＭＳ ゴシック" panose="020B0609070205080204" pitchFamily="49" charset="-128"/>
              <a:ea typeface="ＭＳ ゴシック" panose="020B0609070205080204" pitchFamily="49" charset="-128"/>
            </a:rPr>
            <a:t>人に限って、保育士とみなすことができる。</a:t>
          </a:r>
          <a:endParaRPr kumimoji="1" lang="en-US" altLang="ja-JP" sz="1000" b="0">
            <a:latin typeface="ＭＳ ゴシック" panose="020B0609070205080204" pitchFamily="49" charset="-128"/>
            <a:ea typeface="ＭＳ ゴシック" panose="020B0609070205080204" pitchFamily="49" charset="-128"/>
          </a:endParaRPr>
        </a:p>
        <a:p>
          <a:pPr algn="l"/>
          <a:endParaRPr kumimoji="1" lang="en-US" altLang="ja-JP" sz="1000" b="0">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95248</xdr:colOff>
      <xdr:row>0</xdr:row>
      <xdr:rowOff>232833</xdr:rowOff>
    </xdr:from>
    <xdr:to>
      <xdr:col>20</xdr:col>
      <xdr:colOff>398988</xdr:colOff>
      <xdr:row>6</xdr:row>
      <xdr:rowOff>222250</xdr:rowOff>
    </xdr:to>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10544173" y="232833"/>
          <a:ext cx="3732740" cy="1875367"/>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15</xdr:col>
      <xdr:colOff>84665</xdr:colOff>
      <xdr:row>6</xdr:row>
      <xdr:rowOff>313267</xdr:rowOff>
    </xdr:from>
    <xdr:to>
      <xdr:col>20</xdr:col>
      <xdr:colOff>381000</xdr:colOff>
      <xdr:row>23</xdr:row>
      <xdr:rowOff>52917</xdr:rowOff>
    </xdr:to>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10533590" y="2199217"/>
          <a:ext cx="3725335" cy="458787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利用期間</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バス運行を開始した月日及び終了する月日を入力してください。</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利用児童数</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b="1">
              <a:latin typeface="ＭＳ ゴシック" panose="020B0609070205080204" pitchFamily="49" charset="-128"/>
              <a:ea typeface="ＭＳ ゴシック" panose="020B0609070205080204" pitchFamily="49" charset="-128"/>
            </a:rPr>
            <a:t>　延べ人数</a:t>
          </a:r>
          <a:endParaRPr kumimoji="1" lang="en-US" altLang="ja-JP" sz="1000" b="1">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バスを利用した月当たりの延べ利用数を記載してください。延べ利用数のため、例えば、</a:t>
          </a:r>
          <a:r>
            <a:rPr kumimoji="1" lang="en-US" altLang="ja-JP" sz="1000">
              <a:latin typeface="ＭＳ ゴシック" panose="020B0609070205080204" pitchFamily="49" charset="-128"/>
              <a:ea typeface="ＭＳ ゴシック" panose="020B0609070205080204" pitchFamily="49" charset="-128"/>
            </a:rPr>
            <a:t>A</a:t>
          </a:r>
          <a:r>
            <a:rPr kumimoji="1" lang="ja-JP" altLang="en-US" sz="1000">
              <a:latin typeface="ＭＳ ゴシック" panose="020B0609070205080204" pitchFamily="49" charset="-128"/>
              <a:ea typeface="ＭＳ ゴシック" panose="020B0609070205080204" pitchFamily="49" charset="-128"/>
            </a:rPr>
            <a:t>さんが月</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日バスを利用した場合は延べ利用数</a:t>
          </a:r>
          <a:r>
            <a:rPr kumimoji="1" lang="en-US" altLang="ja-JP" sz="1000">
              <a:latin typeface="ＭＳ ゴシック" panose="020B0609070205080204" pitchFamily="49" charset="-128"/>
              <a:ea typeface="ＭＳ ゴシック" panose="020B0609070205080204" pitchFamily="49" charset="-128"/>
            </a:rPr>
            <a:t>20</a:t>
          </a:r>
          <a:r>
            <a:rPr kumimoji="1" lang="ja-JP" altLang="en-US" sz="1000">
              <a:latin typeface="ＭＳ ゴシック" panose="020B0609070205080204" pitchFamily="49" charset="-128"/>
              <a:ea typeface="ＭＳ ゴシック" panose="020B0609070205080204" pitchFamily="49" charset="-128"/>
            </a:rPr>
            <a:t>人とカウントします。　</a:t>
          </a: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36</xdr:col>
      <xdr:colOff>74081</xdr:colOff>
      <xdr:row>0</xdr:row>
      <xdr:rowOff>10583</xdr:rowOff>
    </xdr:from>
    <xdr:to>
      <xdr:col>36</xdr:col>
      <xdr:colOff>3817405</xdr:colOff>
      <xdr:row>9</xdr:row>
      <xdr:rowOff>116417</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15180731" y="10583"/>
          <a:ext cx="3743324" cy="178223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セルの入力</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白色セル（緑色セル）：入力不可（自動計算セル）</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黄色セル：手入力</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橙色セル：ドロップダウンから選択</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青色セル：修正があれば上書き可能</a:t>
          </a:r>
        </a:p>
      </xdr:txBody>
    </xdr:sp>
    <xdr:clientData/>
  </xdr:twoCellAnchor>
  <xdr:twoCellAnchor>
    <xdr:from>
      <xdr:col>36</xdr:col>
      <xdr:colOff>87841</xdr:colOff>
      <xdr:row>10</xdr:row>
      <xdr:rowOff>87841</xdr:rowOff>
    </xdr:from>
    <xdr:to>
      <xdr:col>36</xdr:col>
      <xdr:colOff>3532716</xdr:colOff>
      <xdr:row>71</xdr:row>
      <xdr:rowOff>38100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13870516" y="1535641"/>
          <a:ext cx="3444875" cy="9522884"/>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修業日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１号認定児童の通常教育提供日（修業日）にドロップダウンから「○」を入力してください。</a:t>
          </a:r>
          <a:endParaRPr kumimoji="1" lang="en-US" altLang="ja-JP" sz="1000">
            <a:latin typeface="ＭＳ ゴシック" panose="020B0609070205080204" pitchFamily="49" charset="-128"/>
            <a:ea typeface="ＭＳ ゴシック" panose="020B0609070205080204" pitchFamily="49" charset="-128"/>
          </a:endParaRPr>
        </a:p>
        <a:p>
          <a:pPr algn="l"/>
          <a:r>
            <a:rPr kumimoji="1" lang="ja-JP" altLang="en-US" sz="1000">
              <a:latin typeface="ＭＳ ゴシック" panose="020B0609070205080204" pitchFamily="49" charset="-128"/>
              <a:ea typeface="ＭＳ ゴシック" panose="020B0609070205080204" pitchFamily="49" charset="-128"/>
            </a:rPr>
            <a:t>　ただし、土曜、日曜、祝日に当たる日は入力してもカウントされません。</a:t>
          </a:r>
          <a:endParaRPr kumimoji="1" lang="en-US" altLang="ja-JP" sz="1000">
            <a:latin typeface="ＭＳ ゴシック" panose="020B0609070205080204" pitchFamily="49" charset="-128"/>
            <a:ea typeface="ＭＳ ゴシック" panose="020B0609070205080204" pitchFamily="49" charset="-128"/>
          </a:endParaRPr>
        </a:p>
        <a:p>
          <a:pPr algn="l"/>
          <a:endParaRPr kumimoji="1" lang="en-US" altLang="ja-JP" sz="1000">
            <a:latin typeface="ＭＳ ゴシック" panose="020B0609070205080204" pitchFamily="49" charset="-128"/>
            <a:ea typeface="ＭＳ ゴシック" panose="020B0609070205080204" pitchFamily="49" charset="-128"/>
          </a:endParaRPr>
        </a:p>
        <a:p>
          <a:pPr algn="l"/>
          <a:r>
            <a:rPr kumimoji="1" lang="en-US" altLang="ja-JP" sz="1000" b="1">
              <a:latin typeface="ＭＳ ゴシック" panose="020B0609070205080204" pitchFamily="49" charset="-128"/>
              <a:ea typeface="ＭＳ ゴシック" panose="020B0609070205080204" pitchFamily="49" charset="-128"/>
            </a:rPr>
            <a:t>【</a:t>
          </a:r>
          <a:r>
            <a:rPr kumimoji="1" lang="ja-JP" altLang="en-US" sz="1000" b="1">
              <a:latin typeface="ＭＳ ゴシック" panose="020B0609070205080204" pitchFamily="49" charset="-128"/>
              <a:ea typeface="ＭＳ ゴシック" panose="020B0609070205080204" pitchFamily="49" charset="-128"/>
            </a:rPr>
            <a:t>給食日</a:t>
          </a:r>
          <a:r>
            <a:rPr kumimoji="1" lang="en-US" altLang="ja-JP" sz="1000" b="1">
              <a:latin typeface="ＭＳ ゴシック" panose="020B0609070205080204" pitchFamily="49" charset="-128"/>
              <a:ea typeface="ＭＳ ゴシック" panose="020B0609070205080204" pitchFamily="49" charset="-128"/>
            </a:rPr>
            <a:t>】</a:t>
          </a:r>
        </a:p>
        <a:p>
          <a:pPr algn="l"/>
          <a:r>
            <a:rPr kumimoji="1" lang="ja-JP" altLang="en-US" sz="1000">
              <a:latin typeface="ＭＳ ゴシック" panose="020B0609070205080204" pitchFamily="49" charset="-128"/>
              <a:ea typeface="ＭＳ ゴシック" panose="020B0609070205080204" pitchFamily="49" charset="-128"/>
            </a:rPr>
            <a:t>　修業日のうち、通常教育を行っている児童に対し給食を提供する日に</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ドロップダウンから「○」を入力してください。</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ただし、土曜、日曜、祝日に当たる日は入力してもカウントされません。</a:t>
          </a:r>
          <a:r>
            <a:rPr kumimoji="1" lang="ja-JP" altLang="en-US" sz="1000">
              <a:latin typeface="ＭＳ ゴシック" panose="020B0609070205080204" pitchFamily="49" charset="-128"/>
              <a:ea typeface="ＭＳ ゴシック" panose="020B0609070205080204" pitchFamily="49" charset="-128"/>
            </a:rPr>
            <a:t>また、修業日に「○」がついていない日もカウントされません。</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なお、以下の例のように通常教育を行っている児童に給食を提供しない給食日は「○」を入れないでください。</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例）一時預かり児童にのみ給食を提供する</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　通常利用児童</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午前のみで、給食は食べないで帰る</a:t>
          </a:r>
          <a:endParaRPr kumimoji="1" lang="en-US" altLang="ja-JP" sz="10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anose="020B0609070205080204" pitchFamily="49" charset="-128"/>
              <a:ea typeface="ＭＳ ゴシック" panose="020B0609070205080204" pitchFamily="49" charset="-128"/>
            </a:rPr>
            <a:t>　　・　一時預かり</a:t>
          </a:r>
          <a:r>
            <a:rPr kumimoji="1" lang="en-US" altLang="ja-JP" sz="1000">
              <a:latin typeface="ＭＳ ゴシック" panose="020B0609070205080204" pitchFamily="49" charset="-128"/>
              <a:ea typeface="ＭＳ ゴシック" panose="020B0609070205080204" pitchFamily="49" charset="-128"/>
            </a:rPr>
            <a:t>…</a:t>
          </a:r>
          <a:r>
            <a:rPr kumimoji="1" lang="ja-JP" altLang="en-US" sz="1000">
              <a:latin typeface="ＭＳ ゴシック" panose="020B0609070205080204" pitchFamily="49" charset="-128"/>
              <a:ea typeface="ＭＳ ゴシック" panose="020B0609070205080204" pitchFamily="49" charset="-128"/>
            </a:rPr>
            <a:t>給食を食べる</a:t>
          </a:r>
          <a:endParaRPr kumimoji="1" lang="en-US" altLang="ja-JP" sz="1000">
            <a:latin typeface="ＭＳ ゴシック" panose="020B0609070205080204" pitchFamily="49" charset="-128"/>
            <a:ea typeface="ＭＳ ゴシック" panose="020B0609070205080204" pitchFamily="49" charset="-128"/>
          </a:endParaRPr>
        </a:p>
        <a:p>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副食日</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000">
            <a:effectLst/>
            <a:latin typeface="ＭＳ ゴシック" panose="020B0609070205080204" pitchFamily="49" charset="-128"/>
            <a:ea typeface="ＭＳ ゴシック" panose="020B0609070205080204" pitchFamily="49" charset="-128"/>
          </a:endParaRPr>
        </a:p>
        <a:p>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給食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日のうち、通常教育を行っている児童に対し</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完全な副食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を提供する日にドロップダウンから「○」を入力してください。</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ただし、土曜、日曜、祝日に当たる日は入力してもカウントされません。また、</a:t>
          </a:r>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給食</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日に「○」がついていない日もカウントされません。</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また、副食日数については「利用こどものすべてに副食を提供する日」を入れていただくこととなりますので、以下を参考にしてください。</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参入できないもの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牛乳やおやつのみの提供</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夏休み・冬休み・春休み等の長期休暇期間</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確認が必要なもの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希望する者に給食を提供する日がある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希望するこども全員に提供する体制があれば可能。「●食限定」とするなど、一部児童にのみ提供とみなされる体制は不可。</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②　歳児ごとに実施日数や体制が異なる</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全ての歳児で提供されていることが必要です。このため、４～５歳児は２０日、３歳児は１５日のように実施日数が場合は、３～５歳で共通する日数を数えます。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また、４～５歳児は給食、３歳児は弁当とする場合は原則副食提供日として認められませんが、３歳児のみ希望する者に給食提供としている場合は、４～５歳児の給食日と３歳児の希望給食日が重複する日数を数え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endPar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&lt;</a:t>
          </a:r>
          <a:r>
            <a:rPr kumimoji="1" lang="ja-JP" altLang="ja-JP" sz="1000" b="1">
              <a:solidFill>
                <a:schemeClr val="dk1"/>
              </a:solidFill>
              <a:effectLst/>
              <a:latin typeface="ＭＳ ゴシック" panose="020B0609070205080204" pitchFamily="49" charset="-128"/>
              <a:ea typeface="ＭＳ ゴシック" panose="020B0609070205080204" pitchFamily="49" charset="-128"/>
              <a:cs typeface="+mn-cs"/>
            </a:rPr>
            <a:t>参入できるもの</a:t>
          </a:r>
          <a:r>
            <a:rPr kumimoji="1" lang="en-US" altLang="ja-JP" sz="1000" b="1">
              <a:solidFill>
                <a:schemeClr val="dk1"/>
              </a:solidFill>
              <a:effectLst/>
              <a:latin typeface="ＭＳ ゴシック" panose="020B0609070205080204" pitchFamily="49" charset="-128"/>
              <a:ea typeface="ＭＳ ゴシック" panose="020B0609070205080204" pitchFamily="49" charset="-128"/>
              <a:cs typeface="+mn-cs"/>
            </a:rPr>
            <a:t>&gt;</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①　ある歳児が遠足等の行事で給食を一部提供できない日</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　➡　例えば、３～４歳は給食を提供しているが、５歳児のみ遠足で給食を提供できない日がある場合は副食提供日として認定できます。</a:t>
          </a:r>
          <a:endParaRPr lang="ja-JP" altLang="ja-JP" sz="10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上記条件等により、給食実施加算の給食日と一致しない可能性があります。通常は副食徴収免除加算の副食提供日の方が要件が厳しいため、給食実施加算の給食実施日数より少なくなることがあります。</a:t>
          </a:r>
          <a:endParaRPr lang="ja-JP" altLang="ja-JP" sz="1000">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43&#32102;&#20184;&#20418;/02&#65306;&#32102;&#20184;&#36027;&#65288;&#21033;&#29992;&#32773;&#36000;&#25285;&#38989;&#65289;/01&#65306;&#21152;&#31639;&#30003;&#35531;&#38306;&#20418;/01&#65306;&#20966;&#36935;&#25913;&#21892;&#31561;&#21152;&#31639;&#20197;&#22806;/01&#65306;&#27096;&#24335;/2022(R4)/02&#65306;&#20445;&#32946;&#25152;/&#12304;&#20445;&#32946;&#25152;&#12305;2022&#21152;&#31639;&#35519;&#25972;&#38917;&#30446;&#30003;&#35531;&#26360;&#65288;&#9675;&#26376;&#20998;&#65289;Ver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施設状況(要更新)"/>
      <sheetName val="チーム保育単価(要更新)"/>
      <sheetName val="休日情報(要更新)"/>
      <sheetName val="作成方法"/>
      <sheetName val="【別添】添付書類の表紙"/>
      <sheetName val="【様式１】総括表・個票"/>
      <sheetName val="(別紙１)施設長設置"/>
      <sheetName val="(別紙2)土曜閉所"/>
      <sheetName val="(別紙3)休日"/>
      <sheetName val="(別紙6)定員超過"/>
      <sheetName val="【様式2】職員名簿"/>
      <sheetName val="【様式３】シフト表"/>
      <sheetName val="【様式4】クラス編成表"/>
      <sheetName val="【様式５】職員数算出表"/>
      <sheetName val="【様式6】加算確認表"/>
      <sheetName val="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2" displayName="テーブル12" ref="A3:R602" totalsRowShown="0" headerRowDxfId="157" dataDxfId="156" tableBorderDxfId="155">
  <autoFilter ref="A3:R602" xr:uid="{00000000-0009-0000-0100-000001000000}"/>
  <tableColumns count="18">
    <tableColumn id="1" xr3:uid="{00000000-0010-0000-0000-000001000000}" name="ソート①" dataDxfId="154"/>
    <tableColumn id="2" xr3:uid="{00000000-0010-0000-0000-000002000000}" name="列1" dataDxfId="153"/>
    <tableColumn id="3" xr3:uid="{00000000-0010-0000-0000-000003000000}" name="ソート②" dataDxfId="152"/>
    <tableColumn id="4" xr3:uid="{00000000-0010-0000-0000-000004000000}" name="列4" dataDxfId="151"/>
    <tableColumn id="5" xr3:uid="{00000000-0010-0000-0000-000005000000}" name="列5" dataDxfId="150"/>
    <tableColumn id="6" xr3:uid="{00000000-0010-0000-0000-000006000000}" name="1" dataDxfId="149"/>
    <tableColumn id="7" xr3:uid="{00000000-0010-0000-0000-000007000000}" name="2" dataDxfId="148"/>
    <tableColumn id="8" xr3:uid="{00000000-0010-0000-0000-000008000000}" name="3" dataDxfId="147"/>
    <tableColumn id="9" xr3:uid="{00000000-0010-0000-0000-000009000000}" name="4" dataDxfId="146"/>
    <tableColumn id="10" xr3:uid="{00000000-0010-0000-0000-00000A000000}" name="5" dataDxfId="145"/>
    <tableColumn id="11" xr3:uid="{00000000-0010-0000-0000-00000B000000}" name="6" dataDxfId="144"/>
    <tableColumn id="12" xr3:uid="{00000000-0010-0000-0000-00000C000000}" name="7" dataDxfId="143"/>
    <tableColumn id="13" xr3:uid="{00000000-0010-0000-0000-00000D000000}" name="8" dataDxfId="142"/>
    <tableColumn id="14" xr3:uid="{00000000-0010-0000-0000-00000E000000}" name="9" dataDxfId="141"/>
    <tableColumn id="15" xr3:uid="{00000000-0010-0000-0000-00000F000000}" name="10" dataDxfId="140"/>
    <tableColumn id="16" xr3:uid="{00000000-0010-0000-0000-000010000000}" name="11" dataDxfId="139"/>
    <tableColumn id="18" xr3:uid="{00000000-0010-0000-0000-000012000000}" name="12" dataDxfId="138"/>
    <tableColumn id="17" xr3:uid="{00000000-0010-0000-0000-000011000000}" name="13" dataDxfId="13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yufuhi@city.sapporo.jp" TargetMode="External"/><Relationship Id="rId1" Type="http://schemas.openxmlformats.org/officeDocument/2006/relationships/hyperlink" Target="mailto:kyufuhi@city.sapporo.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IV616"/>
  <sheetViews>
    <sheetView zoomScale="115" zoomScaleNormal="115" workbookViewId="0">
      <pane xSplit="1" ySplit="3" topLeftCell="B4" activePane="bottomRight" state="frozen"/>
      <selection activeCell="C26" sqref="C26:D26"/>
      <selection pane="topRight" activeCell="C26" sqref="C26:D26"/>
      <selection pane="bottomLeft" activeCell="C26" sqref="C26:D26"/>
      <selection pane="bottomRight" activeCell="C26" sqref="C26:D26"/>
    </sheetView>
  </sheetViews>
  <sheetFormatPr defaultColWidth="8" defaultRowHeight="13.5" outlineLevelRow="1"/>
  <cols>
    <col min="1" max="1" width="6.125" style="11" customWidth="1"/>
    <col min="2" max="2" width="8" style="11" customWidth="1"/>
    <col min="3" max="3" width="11.875" style="11" customWidth="1"/>
    <col min="4" max="5" width="8" style="11" customWidth="1"/>
    <col min="6" max="6" width="35.5" style="11" customWidth="1"/>
    <col min="7" max="7" width="10.25" style="11" customWidth="1"/>
    <col min="8" max="11" width="8" style="11" customWidth="1"/>
    <col min="12" max="12" width="8.875" style="11" customWidth="1"/>
    <col min="13" max="13" width="9" style="11" customWidth="1"/>
    <col min="14" max="14" width="10.5" style="11" customWidth="1"/>
    <col min="15" max="15" width="8.875" style="11" customWidth="1"/>
    <col min="16" max="16" width="9.75" style="11" customWidth="1"/>
    <col min="17" max="17" width="8.625" style="11" customWidth="1"/>
    <col min="18" max="18" width="8.875" style="11" customWidth="1"/>
    <col min="19" max="21" width="6" style="11" customWidth="1"/>
    <col min="22" max="22" width="14" style="9" customWidth="1"/>
    <col min="23" max="23" width="40.625" style="9" bestFit="1" customWidth="1"/>
    <col min="24" max="24" width="10.875" style="10" customWidth="1"/>
    <col min="25" max="25" width="8.875" style="9" customWidth="1"/>
    <col min="26" max="26" width="7.5" style="9" customWidth="1"/>
    <col min="27" max="29" width="9" style="9" customWidth="1"/>
    <col min="30" max="30" width="27.25" style="9" bestFit="1" customWidth="1"/>
    <col min="31" max="32" width="9" style="9" customWidth="1"/>
    <col min="33" max="33" width="30.625" style="9" bestFit="1" customWidth="1"/>
    <col min="34" max="76" width="9" style="11" customWidth="1"/>
    <col min="77" max="77" width="13.75" style="11" customWidth="1"/>
    <col min="78" max="249" width="9" style="11" customWidth="1"/>
    <col min="250" max="250" width="6" style="11" bestFit="1" customWidth="1"/>
    <col min="251" max="253" width="8" style="11" bestFit="1" customWidth="1"/>
    <col min="254" max="254" width="35.5" style="11" bestFit="1" customWidth="1"/>
    <col min="255" max="255" width="20.5" style="11" bestFit="1" customWidth="1"/>
    <col min="256" max="16384" width="8" style="11"/>
  </cols>
  <sheetData>
    <row r="1" spans="1:256">
      <c r="A1" s="3" t="s">
        <v>167</v>
      </c>
      <c r="B1" s="3" t="s">
        <v>168</v>
      </c>
      <c r="C1" s="1363" t="s">
        <v>169</v>
      </c>
      <c r="D1" s="1364"/>
      <c r="E1" s="4" t="s">
        <v>170</v>
      </c>
      <c r="F1" s="4" t="s">
        <v>171</v>
      </c>
      <c r="G1" s="5" t="s">
        <v>172</v>
      </c>
      <c r="H1" s="6"/>
      <c r="I1" s="7"/>
      <c r="J1" s="4" t="s">
        <v>173</v>
      </c>
      <c r="K1" s="1365" t="s">
        <v>174</v>
      </c>
      <c r="L1" s="1366"/>
      <c r="M1" s="1366"/>
      <c r="N1" s="1366"/>
      <c r="O1" s="1367"/>
      <c r="P1" s="1368" t="s">
        <v>175</v>
      </c>
      <c r="Q1" s="1369"/>
      <c r="R1" s="1370" t="s">
        <v>176</v>
      </c>
      <c r="S1" s="3" t="s">
        <v>167</v>
      </c>
      <c r="T1" s="8"/>
      <c r="U1" s="8"/>
    </row>
    <row r="2" spans="1:256">
      <c r="A2" s="3"/>
      <c r="B2" s="3"/>
      <c r="C2" s="3">
        <v>1</v>
      </c>
      <c r="D2" s="12">
        <v>2</v>
      </c>
      <c r="E2" s="12"/>
      <c r="F2" s="12"/>
      <c r="G2" s="13" t="s">
        <v>177</v>
      </c>
      <c r="H2" s="13" t="s">
        <v>178</v>
      </c>
      <c r="I2" s="13" t="s">
        <v>179</v>
      </c>
      <c r="J2" s="12"/>
      <c r="K2" s="13" t="s">
        <v>177</v>
      </c>
      <c r="L2" s="13" t="s">
        <v>178</v>
      </c>
      <c r="M2" s="13" t="s">
        <v>180</v>
      </c>
      <c r="N2" s="13" t="s">
        <v>181</v>
      </c>
      <c r="O2" s="5" t="s">
        <v>182</v>
      </c>
      <c r="P2" s="13" t="s">
        <v>22</v>
      </c>
      <c r="Q2" s="13" t="s">
        <v>183</v>
      </c>
      <c r="R2" s="1371"/>
      <c r="S2" s="3"/>
      <c r="T2" s="8"/>
      <c r="U2" s="8"/>
      <c r="Y2" s="9">
        <v>1</v>
      </c>
      <c r="Z2" s="9">
        <v>2</v>
      </c>
      <c r="AA2" s="9">
        <v>3</v>
      </c>
      <c r="AB2" s="9">
        <v>4</v>
      </c>
      <c r="AC2" s="9">
        <v>5</v>
      </c>
      <c r="AD2" s="9">
        <v>6</v>
      </c>
      <c r="AE2" s="9">
        <v>7</v>
      </c>
      <c r="AF2" s="9">
        <v>8</v>
      </c>
      <c r="AG2" s="9">
        <v>9</v>
      </c>
      <c r="AH2" s="9">
        <v>10</v>
      </c>
      <c r="AI2" s="9">
        <v>11</v>
      </c>
      <c r="AJ2" s="9">
        <v>12</v>
      </c>
      <c r="AK2" s="9">
        <v>13</v>
      </c>
      <c r="AL2" s="9">
        <v>14</v>
      </c>
      <c r="AM2" s="9">
        <v>15</v>
      </c>
      <c r="AN2" s="9">
        <v>16</v>
      </c>
      <c r="AO2" s="9">
        <v>17</v>
      </c>
      <c r="AP2" s="9">
        <v>18</v>
      </c>
      <c r="AQ2" s="9">
        <v>19</v>
      </c>
      <c r="AR2" s="9">
        <v>20</v>
      </c>
      <c r="AS2" s="9">
        <v>21</v>
      </c>
      <c r="AT2" s="9">
        <v>22</v>
      </c>
      <c r="AU2" s="9">
        <v>23</v>
      </c>
      <c r="AV2" s="9">
        <v>24</v>
      </c>
      <c r="AW2" s="9">
        <v>25</v>
      </c>
      <c r="AX2" s="9">
        <v>26</v>
      </c>
      <c r="AY2" s="9">
        <v>27</v>
      </c>
      <c r="AZ2" s="9">
        <v>28</v>
      </c>
      <c r="BA2" s="9">
        <v>29</v>
      </c>
      <c r="BB2" s="9">
        <v>30</v>
      </c>
      <c r="BC2" s="9">
        <v>31</v>
      </c>
      <c r="BD2" s="9">
        <v>32</v>
      </c>
      <c r="BE2" s="9">
        <v>33</v>
      </c>
      <c r="BF2" s="9">
        <v>34</v>
      </c>
      <c r="BG2" s="9">
        <v>35</v>
      </c>
      <c r="BH2" s="9">
        <v>36</v>
      </c>
      <c r="BI2" s="9">
        <v>37</v>
      </c>
      <c r="BJ2" s="9">
        <v>38</v>
      </c>
      <c r="BK2" s="9">
        <v>39</v>
      </c>
      <c r="BL2" s="9">
        <v>40</v>
      </c>
      <c r="BM2" s="9">
        <v>41</v>
      </c>
      <c r="BN2" s="9">
        <v>42</v>
      </c>
      <c r="BO2" s="9">
        <v>43</v>
      </c>
      <c r="BP2" s="9">
        <v>44</v>
      </c>
      <c r="BQ2" s="9">
        <v>45</v>
      </c>
      <c r="BR2" s="9">
        <v>46</v>
      </c>
      <c r="BS2" s="9">
        <v>47</v>
      </c>
      <c r="BT2" s="9">
        <v>48</v>
      </c>
      <c r="BU2" s="9">
        <v>49</v>
      </c>
      <c r="BV2" s="9">
        <v>50</v>
      </c>
      <c r="BW2" s="9">
        <v>51</v>
      </c>
      <c r="BX2" s="9">
        <v>52</v>
      </c>
      <c r="BY2" s="9">
        <v>53</v>
      </c>
      <c r="BZ2" s="9">
        <v>54</v>
      </c>
      <c r="CA2" s="9">
        <v>55</v>
      </c>
      <c r="CB2" s="9">
        <v>56</v>
      </c>
      <c r="CC2" s="9">
        <v>57</v>
      </c>
      <c r="CD2" s="9">
        <v>58</v>
      </c>
      <c r="CE2" s="9">
        <v>59</v>
      </c>
      <c r="CF2" s="9">
        <v>60</v>
      </c>
      <c r="CG2" s="9">
        <v>61</v>
      </c>
      <c r="CH2" s="9">
        <v>62</v>
      </c>
      <c r="CI2" s="9">
        <v>63</v>
      </c>
      <c r="CJ2" s="9">
        <v>64</v>
      </c>
      <c r="CK2" s="9">
        <v>65</v>
      </c>
      <c r="CL2" s="9">
        <v>66</v>
      </c>
      <c r="CM2" s="9">
        <v>67</v>
      </c>
      <c r="CN2" s="9">
        <v>68</v>
      </c>
      <c r="CO2" s="9">
        <v>69</v>
      </c>
      <c r="CP2" s="9">
        <v>70</v>
      </c>
      <c r="CQ2" s="9">
        <v>71</v>
      </c>
      <c r="CR2" s="9">
        <v>72</v>
      </c>
      <c r="CS2" s="9">
        <v>73</v>
      </c>
      <c r="CT2" s="9">
        <v>74</v>
      </c>
      <c r="CU2" s="9">
        <v>75</v>
      </c>
      <c r="CV2" s="9">
        <v>76</v>
      </c>
      <c r="CW2" s="9">
        <v>77</v>
      </c>
      <c r="CX2" s="9">
        <v>78</v>
      </c>
      <c r="CY2" s="9">
        <v>79</v>
      </c>
      <c r="CZ2" s="9">
        <v>80</v>
      </c>
      <c r="DA2" s="9">
        <v>81</v>
      </c>
    </row>
    <row r="3" spans="1:256" ht="33.75">
      <c r="A3" s="14" t="s">
        <v>579</v>
      </c>
      <c r="B3" s="15" t="s">
        <v>602</v>
      </c>
      <c r="C3" s="15" t="s">
        <v>603</v>
      </c>
      <c r="D3" s="15" t="s">
        <v>184</v>
      </c>
      <c r="E3" s="15" t="s">
        <v>185</v>
      </c>
      <c r="F3" s="15" t="s">
        <v>186</v>
      </c>
      <c r="G3" s="15" t="s">
        <v>187</v>
      </c>
      <c r="H3" s="15" t="s">
        <v>188</v>
      </c>
      <c r="I3" s="15" t="s">
        <v>189</v>
      </c>
      <c r="J3" s="15" t="s">
        <v>190</v>
      </c>
      <c r="K3" s="15" t="s">
        <v>191</v>
      </c>
      <c r="L3" s="15" t="s">
        <v>192</v>
      </c>
      <c r="M3" s="15" t="s">
        <v>193</v>
      </c>
      <c r="N3" s="15" t="s">
        <v>194</v>
      </c>
      <c r="O3" s="15" t="s">
        <v>195</v>
      </c>
      <c r="P3" s="15" t="s">
        <v>196</v>
      </c>
      <c r="Q3" s="15" t="s">
        <v>197</v>
      </c>
      <c r="R3" s="15" t="s">
        <v>198</v>
      </c>
      <c r="S3" s="16"/>
      <c r="T3" s="16"/>
      <c r="U3" s="16"/>
      <c r="W3" s="9" t="s">
        <v>3</v>
      </c>
      <c r="Y3" s="17" t="str">
        <f>VLOOKUP(Y2,$U$4:$V$601,2,FALSE)</f>
        <v>中央区03認定こども園</v>
      </c>
      <c r="Z3" s="18" t="str">
        <f t="shared" ref="Z3:AI3" si="0">VLOOKUP(Z2,$U$4:$V$601,2,FALSE)</f>
        <v>北区03認定こども園</v>
      </c>
      <c r="AA3" s="18" t="str">
        <f t="shared" si="0"/>
        <v>東区03認定こども園</v>
      </c>
      <c r="AB3" s="18" t="str">
        <f t="shared" si="0"/>
        <v>白石区03認定こども園</v>
      </c>
      <c r="AC3" s="18" t="str">
        <f t="shared" si="0"/>
        <v>厚別区03認定こども園</v>
      </c>
      <c r="AD3" s="18" t="str">
        <f t="shared" si="0"/>
        <v>豊平区03認定こども園</v>
      </c>
      <c r="AE3" s="18" t="str">
        <f t="shared" si="0"/>
        <v>清田区03認定こども園</v>
      </c>
      <c r="AF3" s="18" t="str">
        <f t="shared" si="0"/>
        <v>南区03認定こども園</v>
      </c>
      <c r="AG3" s="18" t="str">
        <f t="shared" si="0"/>
        <v>西区03認定こども園</v>
      </c>
      <c r="AH3" s="18" t="str">
        <f t="shared" si="0"/>
        <v>手稲区03認定こども園</v>
      </c>
      <c r="AI3" s="18" t="str">
        <f t="shared" si="0"/>
        <v/>
      </c>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row>
    <row r="4" spans="1:256" s="23" customFormat="1" outlineLevel="1">
      <c r="A4" s="19">
        <v>100001</v>
      </c>
      <c r="B4" s="20" t="s">
        <v>199</v>
      </c>
      <c r="C4" s="20" t="s">
        <v>531</v>
      </c>
      <c r="D4" s="20" t="s">
        <v>1069</v>
      </c>
      <c r="E4" s="20" t="s">
        <v>200</v>
      </c>
      <c r="F4" s="21" t="s">
        <v>1244</v>
      </c>
      <c r="G4" s="21"/>
      <c r="H4" s="21"/>
      <c r="I4" s="21"/>
      <c r="J4" s="20">
        <v>66</v>
      </c>
      <c r="K4" s="21">
        <v>312</v>
      </c>
      <c r="L4" s="21">
        <v>120</v>
      </c>
      <c r="M4" s="21">
        <v>8</v>
      </c>
      <c r="N4" s="21">
        <v>28</v>
      </c>
      <c r="O4" s="21">
        <f>SUM(テーブル12[[#This Row],[8]:[9]])</f>
        <v>36</v>
      </c>
      <c r="P4" s="21">
        <v>20</v>
      </c>
      <c r="Q4" s="21"/>
      <c r="R4" s="20">
        <f>SUM(K4,L4,O4)</f>
        <v>468</v>
      </c>
      <c r="S4" s="22">
        <f>A4</f>
        <v>100001</v>
      </c>
      <c r="T4" s="22">
        <f>COUNTIF($V$4:V4,V4)</f>
        <v>1</v>
      </c>
      <c r="U4" s="22">
        <f>IF(T4=1,COUNTIF($T$4:T4,1),"")</f>
        <v>1</v>
      </c>
      <c r="V4" s="23" t="str">
        <f>$E4&amp;$C4</f>
        <v>中央区03認定こども園</v>
      </c>
      <c r="W4" s="23" t="str">
        <f>$F4</f>
        <v>【例】札幌市子ども未来局認定こども園</v>
      </c>
      <c r="X4" s="24"/>
      <c r="Y4" s="25"/>
      <c r="CR4" s="26"/>
      <c r="CS4" s="27"/>
      <c r="CT4" s="27"/>
      <c r="CU4" s="27"/>
      <c r="CV4" s="27"/>
      <c r="CW4" s="27"/>
      <c r="CX4" s="27"/>
      <c r="CY4" s="27"/>
      <c r="CZ4" s="27"/>
      <c r="DA4" s="28"/>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row>
    <row r="5" spans="1:256" s="23" customFormat="1" outlineLevel="1">
      <c r="A5" s="19">
        <v>100019</v>
      </c>
      <c r="B5" s="20" t="s">
        <v>199</v>
      </c>
      <c r="C5" s="20" t="s">
        <v>531</v>
      </c>
      <c r="D5" s="20" t="s">
        <v>1069</v>
      </c>
      <c r="E5" s="20" t="s">
        <v>200</v>
      </c>
      <c r="F5" s="21" t="s">
        <v>1070</v>
      </c>
      <c r="G5" s="21">
        <v>9</v>
      </c>
      <c r="H5" s="21">
        <v>30</v>
      </c>
      <c r="I5" s="21">
        <v>30</v>
      </c>
      <c r="J5" s="42">
        <v>69</v>
      </c>
      <c r="K5" s="21">
        <v>9</v>
      </c>
      <c r="L5" s="21">
        <v>30</v>
      </c>
      <c r="M5" s="21">
        <v>10</v>
      </c>
      <c r="N5" s="21">
        <v>20</v>
      </c>
      <c r="O5" s="21">
        <v>30</v>
      </c>
      <c r="P5" s="21">
        <v>0</v>
      </c>
      <c r="Q5" s="21"/>
      <c r="R5" s="20">
        <f t="shared" ref="R5:R68" si="1">SUM(K5,L5,O5)</f>
        <v>69</v>
      </c>
      <c r="S5" s="22">
        <f t="shared" ref="S5:S68" si="2">A5</f>
        <v>100019</v>
      </c>
      <c r="T5" s="22">
        <f>COUNTIF($V$4:V5,V5)</f>
        <v>2</v>
      </c>
      <c r="U5" s="22" t="str">
        <f>IF(T5=1,COUNTIF($T$4:T5,1),"")</f>
        <v/>
      </c>
      <c r="V5" s="23" t="str">
        <f t="shared" ref="V5:V68" si="3">$E5&amp;$C5</f>
        <v>中央区03認定こども園</v>
      </c>
      <c r="W5" s="23" t="str">
        <f t="shared" ref="W5:W68" si="4">$F5</f>
        <v>認定こども園大谷オアシス保育園</v>
      </c>
      <c r="X5" s="24">
        <v>1</v>
      </c>
      <c r="Y5" s="25" t="str">
        <f t="shared" ref="Y5:AI20" si="5">IFERROR(INDEX($T$4:$W$601,MATCH($X5&amp;Y$3,INDEX($T$4:$T$601&amp;$V$4:$V$601,),0),MATCH("施設名",$T$3:$W$3,0)),"")</f>
        <v>【例】札幌市子ども未来局認定こども園</v>
      </c>
      <c r="Z5" s="1304" t="str">
        <f t="shared" si="5"/>
        <v>認定こども園屯田すずらん</v>
      </c>
      <c r="AA5" s="1304" t="str">
        <f t="shared" si="5"/>
        <v>幼保連携型認定こども園さっぽろ夢</v>
      </c>
      <c r="AB5" s="1304" t="str">
        <f t="shared" si="5"/>
        <v>友愛北白石認定こども園</v>
      </c>
      <c r="AC5" s="1304" t="str">
        <f t="shared" si="5"/>
        <v>認定こども園厚別さくら木保育園</v>
      </c>
      <c r="AD5" s="1304" t="str">
        <f t="shared" si="5"/>
        <v>さっぽろこども園</v>
      </c>
      <c r="AE5" s="1304" t="str">
        <f t="shared" si="5"/>
        <v>花山認定こども園</v>
      </c>
      <c r="AF5" s="1304" t="str">
        <f t="shared" si="5"/>
        <v>認定こども園藻岩そらいろ保育園</v>
      </c>
      <c r="AG5" s="1304" t="str">
        <f t="shared" si="5"/>
        <v>認定こども園宮の沢すずらん</v>
      </c>
      <c r="AH5" s="1304" t="str">
        <f t="shared" si="5"/>
        <v>まえだ認定こども園</v>
      </c>
      <c r="AI5" s="1304">
        <f t="shared" si="5"/>
        <v>0</v>
      </c>
      <c r="AJ5" s="1304"/>
      <c r="AK5" s="1304"/>
      <c r="AL5" s="1304"/>
      <c r="AM5" s="1304"/>
      <c r="AN5" s="1304"/>
      <c r="AO5" s="1304"/>
      <c r="AP5" s="1304"/>
      <c r="AQ5" s="1304"/>
      <c r="AR5" s="1304"/>
      <c r="AS5" s="1304"/>
      <c r="AT5" s="1304"/>
      <c r="AU5" s="1304"/>
      <c r="AV5" s="1304"/>
      <c r="AW5" s="1304"/>
      <c r="AX5" s="1304"/>
      <c r="AY5" s="1304"/>
      <c r="AZ5" s="1304"/>
      <c r="BA5" s="1304"/>
      <c r="BB5" s="1304"/>
      <c r="BC5" s="1304"/>
      <c r="BD5" s="1304"/>
      <c r="BE5" s="1304"/>
      <c r="BF5" s="1304"/>
      <c r="BG5" s="1304"/>
      <c r="BH5" s="1304"/>
      <c r="BI5" s="1304"/>
      <c r="BJ5" s="1304"/>
      <c r="BK5" s="1304"/>
      <c r="BL5" s="1304"/>
      <c r="BM5" s="1304"/>
      <c r="BN5" s="1304"/>
      <c r="BO5" s="1304"/>
      <c r="BP5" s="1304"/>
      <c r="BQ5" s="1304"/>
      <c r="BR5" s="1304"/>
      <c r="BS5" s="1304"/>
      <c r="BT5" s="1304"/>
      <c r="BU5" s="1304"/>
      <c r="BV5" s="1304"/>
      <c r="BW5" s="1304"/>
      <c r="BX5" s="1304"/>
      <c r="BY5" s="1304"/>
      <c r="BZ5" s="1304"/>
      <c r="CA5" s="1304"/>
      <c r="CB5" s="1304"/>
      <c r="CC5" s="1304"/>
      <c r="CD5" s="1304"/>
      <c r="CE5" s="1304"/>
      <c r="CF5" s="1304"/>
      <c r="CG5" s="1304"/>
      <c r="CH5" s="1304"/>
      <c r="CI5" s="1304"/>
      <c r="CJ5" s="1304"/>
      <c r="CK5" s="1304"/>
      <c r="CL5" s="1304"/>
      <c r="CM5" s="1304"/>
      <c r="CN5" s="1304"/>
      <c r="CO5" s="1304"/>
      <c r="CP5" s="1304"/>
      <c r="CQ5" s="1304"/>
      <c r="CR5" s="1306"/>
      <c r="CS5" s="1307"/>
      <c r="CT5" s="1307"/>
      <c r="CU5" s="1307"/>
      <c r="CV5" s="1307"/>
      <c r="CW5" s="1307"/>
      <c r="CX5" s="1307"/>
      <c r="CY5" s="1305"/>
      <c r="CZ5" s="1305"/>
      <c r="DA5" s="29"/>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row>
    <row r="6" spans="1:256" s="23" customFormat="1" outlineLevel="1">
      <c r="A6" s="16">
        <v>100038</v>
      </c>
      <c r="B6" s="20" t="s">
        <v>199</v>
      </c>
      <c r="C6" s="20" t="s">
        <v>531</v>
      </c>
      <c r="D6" s="20" t="s">
        <v>1069</v>
      </c>
      <c r="E6" s="20" t="s">
        <v>200</v>
      </c>
      <c r="F6" s="21" t="s">
        <v>201</v>
      </c>
      <c r="G6" s="21">
        <v>75</v>
      </c>
      <c r="H6" s="21">
        <v>48</v>
      </c>
      <c r="I6" s="21">
        <v>27</v>
      </c>
      <c r="J6" s="42">
        <v>150</v>
      </c>
      <c r="K6" s="21">
        <v>75</v>
      </c>
      <c r="L6" s="21">
        <v>48</v>
      </c>
      <c r="M6" s="21">
        <v>6</v>
      </c>
      <c r="N6" s="21">
        <v>21</v>
      </c>
      <c r="O6" s="21">
        <v>27</v>
      </c>
      <c r="P6" s="21">
        <v>0</v>
      </c>
      <c r="Q6" s="21"/>
      <c r="R6" s="20">
        <f t="shared" si="1"/>
        <v>150</v>
      </c>
      <c r="S6" s="22">
        <f t="shared" si="2"/>
        <v>100038</v>
      </c>
      <c r="T6" s="22">
        <f>COUNTIF($V$4:V6,V6)</f>
        <v>3</v>
      </c>
      <c r="U6" s="22" t="str">
        <f>IF(T6=1,COUNTIF($T$4:T6,1),"")</f>
        <v/>
      </c>
      <c r="V6" s="23" t="str">
        <f t="shared" si="3"/>
        <v>中央区03認定こども園</v>
      </c>
      <c r="W6" s="23" t="str">
        <f t="shared" si="4"/>
        <v>認定こども園カトリック聖園こどもの家</v>
      </c>
      <c r="X6" s="24">
        <v>2</v>
      </c>
      <c r="Y6" s="30" t="str">
        <f t="shared" si="5"/>
        <v>認定こども園大谷オアシス保育園</v>
      </c>
      <c r="Z6" s="1304" t="str">
        <f t="shared" si="5"/>
        <v>しんことに清香こども園</v>
      </c>
      <c r="AA6" s="1304" t="str">
        <f t="shared" si="5"/>
        <v>幼保連携型認定こども園しらゆき夢</v>
      </c>
      <c r="AB6" s="1304" t="str">
        <f t="shared" si="5"/>
        <v>飛翔認定こども園</v>
      </c>
      <c r="AC6" s="1304" t="str">
        <f t="shared" si="5"/>
        <v>認定こども園いちい幼稚園・保育園</v>
      </c>
      <c r="AD6" s="1304" t="str">
        <f t="shared" si="5"/>
        <v>東月寒にれこども園</v>
      </c>
      <c r="AE6" s="1304" t="str">
        <f t="shared" si="5"/>
        <v>アルプス認定こども園</v>
      </c>
      <c r="AF6" s="1304" t="str">
        <f t="shared" si="5"/>
        <v>幼保連携型認定こども園澄川ひろのぶ保育園</v>
      </c>
      <c r="AG6" s="1304" t="str">
        <f t="shared" si="5"/>
        <v>発寒にこりんこども園</v>
      </c>
      <c r="AH6" s="1304" t="str">
        <f t="shared" si="5"/>
        <v>星置ピノキオ認定こども園</v>
      </c>
      <c r="AI6" s="1304">
        <f t="shared" si="5"/>
        <v>0</v>
      </c>
      <c r="AJ6" s="1304"/>
      <c r="AK6" s="1304"/>
      <c r="AL6" s="1304"/>
      <c r="AM6" s="1304"/>
      <c r="AN6" s="1304"/>
      <c r="AO6" s="1304"/>
      <c r="AP6" s="1304"/>
      <c r="AQ6" s="1304"/>
      <c r="AR6" s="1304"/>
      <c r="AS6" s="1304"/>
      <c r="AT6" s="1304"/>
      <c r="AU6" s="1304"/>
      <c r="AV6" s="1304"/>
      <c r="AW6" s="1304"/>
      <c r="AX6" s="1304"/>
      <c r="AY6" s="1304"/>
      <c r="AZ6" s="1304"/>
      <c r="BA6" s="1304"/>
      <c r="BB6" s="1304"/>
      <c r="BC6" s="1304"/>
      <c r="BD6" s="1304"/>
      <c r="BE6" s="1304"/>
      <c r="BF6" s="1304"/>
      <c r="BG6" s="1304"/>
      <c r="BH6" s="31"/>
      <c r="BI6" s="1304"/>
      <c r="BJ6" s="1304"/>
      <c r="BK6" s="1304"/>
      <c r="BL6" s="1304"/>
      <c r="BM6" s="1304"/>
      <c r="BN6" s="1304"/>
      <c r="BO6" s="1304"/>
      <c r="BP6" s="1304"/>
      <c r="BQ6" s="1304"/>
      <c r="BR6" s="1304"/>
      <c r="BS6" s="1304"/>
      <c r="BT6" s="1304"/>
      <c r="BU6" s="1304"/>
      <c r="BV6" s="1304"/>
      <c r="BW6" s="1304"/>
      <c r="BX6" s="1304"/>
      <c r="BY6" s="1304"/>
      <c r="BZ6" s="1304"/>
      <c r="CA6" s="1304"/>
      <c r="CB6" s="1304"/>
      <c r="CC6" s="1304"/>
      <c r="CD6" s="1304"/>
      <c r="CE6" s="1304"/>
      <c r="CF6" s="1304"/>
      <c r="CG6" s="1304"/>
      <c r="CH6" s="1304"/>
      <c r="CI6" s="1304"/>
      <c r="CJ6" s="1304"/>
      <c r="CK6" s="1304"/>
      <c r="CL6" s="1304"/>
      <c r="CM6" s="1304"/>
      <c r="CN6" s="1304"/>
      <c r="CO6" s="1304"/>
      <c r="CP6" s="1304"/>
      <c r="CQ6" s="1304"/>
      <c r="CR6" s="1304"/>
      <c r="CS6" s="1305"/>
      <c r="CT6" s="1305"/>
      <c r="CU6" s="1305"/>
      <c r="CV6" s="1305"/>
      <c r="CW6" s="1305"/>
      <c r="CX6" s="1305"/>
      <c r="CY6" s="1305"/>
      <c r="CZ6" s="1305"/>
      <c r="DA6" s="29"/>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s="23" customFormat="1" ht="11.25" customHeight="1" outlineLevel="1">
      <c r="A7" s="16">
        <v>100064</v>
      </c>
      <c r="B7" s="20" t="s">
        <v>199</v>
      </c>
      <c r="C7" s="20" t="s">
        <v>531</v>
      </c>
      <c r="D7" s="20" t="s">
        <v>1078</v>
      </c>
      <c r="E7" s="20" t="s">
        <v>200</v>
      </c>
      <c r="F7" s="21" t="s">
        <v>1285</v>
      </c>
      <c r="G7" s="21">
        <v>73</v>
      </c>
      <c r="H7" s="21">
        <v>30</v>
      </c>
      <c r="I7" s="21">
        <v>22</v>
      </c>
      <c r="J7" s="42">
        <v>125</v>
      </c>
      <c r="K7" s="21">
        <v>73</v>
      </c>
      <c r="L7" s="21">
        <v>30</v>
      </c>
      <c r="M7" s="21">
        <v>3</v>
      </c>
      <c r="N7" s="21">
        <v>19</v>
      </c>
      <c r="O7" s="21">
        <v>22</v>
      </c>
      <c r="P7" s="21">
        <v>0</v>
      </c>
      <c r="Q7" s="21"/>
      <c r="R7" s="20">
        <f t="shared" si="1"/>
        <v>125</v>
      </c>
      <c r="S7" s="22">
        <f t="shared" si="2"/>
        <v>100064</v>
      </c>
      <c r="T7" s="22">
        <f>COUNTIF($V$4:V7,V7)</f>
        <v>4</v>
      </c>
      <c r="U7" s="22" t="str">
        <f>IF(T7=1,COUNTIF($T$4:T7,1),"")</f>
        <v/>
      </c>
      <c r="V7" s="23" t="str">
        <f t="shared" si="3"/>
        <v>中央区03認定こども園</v>
      </c>
      <c r="W7" s="23" t="str">
        <f t="shared" si="4"/>
        <v>認定こども園札幌ルーテル幼稚園</v>
      </c>
      <c r="X7" s="24">
        <v>3</v>
      </c>
      <c r="Y7" s="30" t="str">
        <f t="shared" si="5"/>
        <v>認定こども園カトリック聖園こどもの家</v>
      </c>
      <c r="Z7" s="1304" t="str">
        <f t="shared" si="5"/>
        <v>屯田おおふじ子ども園</v>
      </c>
      <c r="AA7" s="1304" t="str">
        <f t="shared" si="5"/>
        <v>認定こども園札幌愛珠</v>
      </c>
      <c r="AB7" s="1304" t="str">
        <f t="shared" si="5"/>
        <v>認定こども園菊水すずらん</v>
      </c>
      <c r="AC7" s="1304" t="str">
        <f t="shared" si="5"/>
        <v>認定こども園新さっぽろ幼稚園・保育園</v>
      </c>
      <c r="AD7" s="1304" t="str">
        <f t="shared" si="5"/>
        <v>にれ第２こども園</v>
      </c>
      <c r="AE7" s="1304" t="str">
        <f t="shared" si="5"/>
        <v>認定こども園からまつ保育園</v>
      </c>
      <c r="AF7" s="1304" t="str">
        <f t="shared" si="5"/>
        <v>認定こども園そらいろ</v>
      </c>
      <c r="AG7" s="1304" t="str">
        <f t="shared" si="5"/>
        <v>認定こども園琴似教会幼稚園</v>
      </c>
      <c r="AH7" s="1304" t="str">
        <f t="shared" si="5"/>
        <v>ていねあすなろ認定こども園</v>
      </c>
      <c r="AI7" s="1304">
        <f t="shared" si="5"/>
        <v>0</v>
      </c>
      <c r="AJ7" s="1304"/>
      <c r="AK7" s="1304"/>
      <c r="AL7" s="1304"/>
      <c r="AM7" s="1304"/>
      <c r="AN7" s="1304"/>
      <c r="AO7" s="1304"/>
      <c r="AP7" s="1304"/>
      <c r="AQ7" s="1304"/>
      <c r="AR7" s="1304"/>
      <c r="AS7" s="1304"/>
      <c r="AT7" s="1304"/>
      <c r="AU7" s="1304"/>
      <c r="AV7" s="1304"/>
      <c r="AW7" s="1304"/>
      <c r="AX7" s="1304"/>
      <c r="AY7" s="1304"/>
      <c r="AZ7" s="1304"/>
      <c r="BA7" s="1304"/>
      <c r="BB7" s="1304"/>
      <c r="BC7" s="1304"/>
      <c r="BD7" s="1304"/>
      <c r="BE7" s="1304"/>
      <c r="BF7" s="1304"/>
      <c r="BG7" s="1304"/>
      <c r="BH7" s="1304"/>
      <c r="BI7" s="1304"/>
      <c r="BJ7" s="1304"/>
      <c r="BK7" s="1304"/>
      <c r="BL7" s="1304"/>
      <c r="BM7" s="1304"/>
      <c r="BN7" s="1304"/>
      <c r="BO7" s="1304"/>
      <c r="BP7" s="1304"/>
      <c r="BQ7" s="1304"/>
      <c r="BR7" s="1304"/>
      <c r="BS7" s="1304"/>
      <c r="BT7" s="1304"/>
      <c r="BU7" s="1304"/>
      <c r="BV7" s="1304"/>
      <c r="BW7" s="1304"/>
      <c r="BX7" s="1304"/>
      <c r="BY7" s="1304"/>
      <c r="BZ7" s="1304"/>
      <c r="CA7" s="1304"/>
      <c r="CB7" s="1304"/>
      <c r="CC7" s="1304"/>
      <c r="CD7" s="1304"/>
      <c r="CE7" s="1304"/>
      <c r="CF7" s="1304"/>
      <c r="CG7" s="1304"/>
      <c r="CH7" s="1304"/>
      <c r="CI7" s="1304"/>
      <c r="CJ7" s="1304"/>
      <c r="CK7" s="1304"/>
      <c r="CL7" s="1304"/>
      <c r="CM7" s="1304"/>
      <c r="CN7" s="1304"/>
      <c r="CO7" s="1304"/>
      <c r="CP7" s="1304"/>
      <c r="CQ7" s="1304"/>
      <c r="CR7" s="1304"/>
      <c r="CS7" s="1305"/>
      <c r="CT7" s="1305"/>
      <c r="CU7" s="1305"/>
      <c r="CV7" s="1305"/>
      <c r="CW7" s="1305"/>
      <c r="CX7" s="1305"/>
      <c r="CY7" s="1305"/>
      <c r="CZ7" s="1305"/>
      <c r="DA7" s="29"/>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s="23" customFormat="1" ht="11.25" customHeight="1" outlineLevel="1">
      <c r="A8" s="16">
        <v>100080</v>
      </c>
      <c r="B8" s="20" t="s">
        <v>199</v>
      </c>
      <c r="C8" s="20" t="s">
        <v>531</v>
      </c>
      <c r="D8" s="20" t="s">
        <v>1078</v>
      </c>
      <c r="E8" s="20" t="s">
        <v>200</v>
      </c>
      <c r="F8" s="21" t="s">
        <v>1414</v>
      </c>
      <c r="G8" s="21">
        <v>55</v>
      </c>
      <c r="H8" s="21">
        <v>24</v>
      </c>
      <c r="I8" s="21">
        <v>11</v>
      </c>
      <c r="J8" s="42">
        <v>90</v>
      </c>
      <c r="K8" s="21">
        <v>55</v>
      </c>
      <c r="L8" s="21">
        <v>24</v>
      </c>
      <c r="M8" s="21">
        <v>3</v>
      </c>
      <c r="N8" s="21">
        <v>8</v>
      </c>
      <c r="O8" s="21">
        <v>11</v>
      </c>
      <c r="P8" s="21">
        <v>0</v>
      </c>
      <c r="Q8" s="21"/>
      <c r="R8" s="20">
        <f t="shared" si="1"/>
        <v>90</v>
      </c>
      <c r="S8" s="22">
        <f t="shared" si="2"/>
        <v>100080</v>
      </c>
      <c r="T8" s="22">
        <f>COUNTIF($V$4:V8,V8)</f>
        <v>5</v>
      </c>
      <c r="U8" s="22" t="str">
        <f>IF(T8=1,COUNTIF($T$4:T8,1),"")</f>
        <v/>
      </c>
      <c r="V8" s="23" t="str">
        <f t="shared" si="3"/>
        <v>中央区03認定こども園</v>
      </c>
      <c r="W8" s="23" t="str">
        <f t="shared" si="4"/>
        <v>認定こども園桑園幼稚園</v>
      </c>
      <c r="X8" s="24">
        <v>4</v>
      </c>
      <c r="Y8" s="30" t="str">
        <f t="shared" si="5"/>
        <v>認定こども園札幌ルーテル幼稚園</v>
      </c>
      <c r="Z8" s="1304" t="str">
        <f t="shared" si="5"/>
        <v>新川西さくらこ認定こども園</v>
      </c>
      <c r="AA8" s="1304" t="str">
        <f t="shared" si="5"/>
        <v>幼保連携型認定こども園さつなえのもり</v>
      </c>
      <c r="AB8" s="1304" t="str">
        <f t="shared" si="5"/>
        <v>北郷ピノキオ認定こども園</v>
      </c>
      <c r="AC8" s="1304" t="str">
        <f t="shared" si="5"/>
        <v>認定こども園おおやち</v>
      </c>
      <c r="AD8" s="1304" t="str">
        <f t="shared" si="5"/>
        <v>こども園・ひかりのこ　さっぽろ</v>
      </c>
      <c r="AE8" s="1304" t="str">
        <f t="shared" si="5"/>
        <v>認定こども園北野しらかば幼稚園・保育園</v>
      </c>
      <c r="AF8" s="1304" t="str">
        <f t="shared" si="5"/>
        <v>真駒内聖母認定こども園</v>
      </c>
      <c r="AG8" s="1304" t="str">
        <f t="shared" si="5"/>
        <v>認定こども園西野そらいろ保育園</v>
      </c>
      <c r="AH8" s="1304" t="str">
        <f t="shared" si="5"/>
        <v>認定こども園まつばの杜</v>
      </c>
      <c r="AI8" s="1304">
        <f t="shared" si="5"/>
        <v>0</v>
      </c>
      <c r="AJ8" s="1304"/>
      <c r="AK8" s="1304"/>
      <c r="AL8" s="1304"/>
      <c r="AM8" s="1304"/>
      <c r="AN8" s="1304"/>
      <c r="AO8" s="1304"/>
      <c r="AP8" s="1304"/>
      <c r="AQ8" s="1304"/>
      <c r="AR8" s="1304"/>
      <c r="AS8" s="1304"/>
      <c r="AT8" s="1304"/>
      <c r="AU8" s="1304"/>
      <c r="AV8" s="1304"/>
      <c r="AW8" s="1304"/>
      <c r="AX8" s="1304"/>
      <c r="AY8" s="1304"/>
      <c r="AZ8" s="1304"/>
      <c r="BA8" s="1304"/>
      <c r="BB8" s="1304"/>
      <c r="BC8" s="1304"/>
      <c r="BD8" s="1304"/>
      <c r="BE8" s="1304"/>
      <c r="BF8" s="1304"/>
      <c r="BG8" s="1304"/>
      <c r="BH8" s="1304"/>
      <c r="BI8" s="1304"/>
      <c r="BJ8" s="1304"/>
      <c r="BK8" s="1304"/>
      <c r="BL8" s="1304"/>
      <c r="BM8" s="1304"/>
      <c r="BN8" s="1304"/>
      <c r="BO8" s="1304"/>
      <c r="BP8" s="1304"/>
      <c r="BQ8" s="1304"/>
      <c r="BR8" s="1304"/>
      <c r="BS8" s="1304"/>
      <c r="BT8" s="1304"/>
      <c r="BU8" s="1304"/>
      <c r="BV8" s="1304"/>
      <c r="BW8" s="1304"/>
      <c r="BX8" s="1304"/>
      <c r="BY8" s="1304"/>
      <c r="BZ8" s="1304"/>
      <c r="CA8" s="1304"/>
      <c r="CB8" s="1304"/>
      <c r="CC8" s="1304"/>
      <c r="CD8" s="1304"/>
      <c r="CE8" s="1304"/>
      <c r="CF8" s="1304"/>
      <c r="CG8" s="1304"/>
      <c r="CH8" s="1304"/>
      <c r="CI8" s="1304"/>
      <c r="CJ8" s="1304"/>
      <c r="CK8" s="1304"/>
      <c r="CL8" s="1304"/>
      <c r="CM8" s="1304"/>
      <c r="CN8" s="1304"/>
      <c r="CO8" s="1304"/>
      <c r="CP8" s="1304"/>
      <c r="CQ8" s="1304"/>
      <c r="CR8" s="1304"/>
      <c r="CS8" s="1305"/>
      <c r="CT8" s="1305"/>
      <c r="CU8" s="1305"/>
      <c r="CV8" s="1305"/>
      <c r="CW8" s="1305"/>
      <c r="CX8" s="1305"/>
      <c r="CY8" s="1305"/>
      <c r="CZ8" s="1305"/>
      <c r="DA8" s="29"/>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s="23" customFormat="1" ht="11.25" customHeight="1" outlineLevel="1">
      <c r="A9" s="16">
        <v>100083</v>
      </c>
      <c r="B9" s="20" t="s">
        <v>199</v>
      </c>
      <c r="C9" s="20" t="s">
        <v>531</v>
      </c>
      <c r="D9" s="20" t="s">
        <v>1069</v>
      </c>
      <c r="E9" s="20" t="s">
        <v>200</v>
      </c>
      <c r="F9" s="21" t="s">
        <v>1074</v>
      </c>
      <c r="G9" s="21">
        <v>15</v>
      </c>
      <c r="H9" s="21">
        <v>49</v>
      </c>
      <c r="I9" s="21">
        <v>41</v>
      </c>
      <c r="J9" s="42">
        <v>105</v>
      </c>
      <c r="K9" s="21">
        <v>15</v>
      </c>
      <c r="L9" s="21">
        <v>49</v>
      </c>
      <c r="M9" s="21">
        <v>9</v>
      </c>
      <c r="N9" s="21">
        <v>32</v>
      </c>
      <c r="O9" s="21">
        <v>41</v>
      </c>
      <c r="P9" s="21">
        <v>0</v>
      </c>
      <c r="Q9" s="21"/>
      <c r="R9" s="20">
        <f t="shared" si="1"/>
        <v>105</v>
      </c>
      <c r="S9" s="22">
        <f t="shared" si="2"/>
        <v>100083</v>
      </c>
      <c r="T9" s="22">
        <f>COUNTIF($V$4:V9,V9)</f>
        <v>6</v>
      </c>
      <c r="U9" s="22" t="str">
        <f>IF(T9=1,COUNTIF($T$4:T9,1),"")</f>
        <v/>
      </c>
      <c r="V9" s="23" t="str">
        <f t="shared" si="3"/>
        <v>中央区03認定こども園</v>
      </c>
      <c r="W9" s="23" t="str">
        <f t="shared" si="4"/>
        <v>認定こども園幌西そらいろ保育園</v>
      </c>
      <c r="X9" s="24">
        <v>5</v>
      </c>
      <c r="Y9" s="30" t="str">
        <f t="shared" si="5"/>
        <v>認定こども園桑園幼稚園</v>
      </c>
      <c r="Z9" s="1304" t="str">
        <f t="shared" si="5"/>
        <v>こども園ソレイユ</v>
      </c>
      <c r="AA9" s="1304" t="str">
        <f t="shared" si="5"/>
        <v>幼保連携型認定こども園おかだまのもり</v>
      </c>
      <c r="AB9" s="1304" t="str">
        <f t="shared" si="5"/>
        <v>双葉こども園</v>
      </c>
      <c r="AC9" s="1304" t="str">
        <f t="shared" si="5"/>
        <v>認定こども園北光幼稚園</v>
      </c>
      <c r="AD9" s="1304" t="str">
        <f t="shared" si="5"/>
        <v>認定こども園まなび</v>
      </c>
      <c r="AE9" s="1304" t="str">
        <f t="shared" si="5"/>
        <v>認定こども園ひかり</v>
      </c>
      <c r="AF9" s="1304" t="str">
        <f t="shared" si="5"/>
        <v>認定こども園まこまない明星幼稚園</v>
      </c>
      <c r="AG9" s="1304" t="str">
        <f t="shared" si="5"/>
        <v>幼保連携型認定こども園西野札幌幼稚園</v>
      </c>
      <c r="AH9" s="1304" t="str">
        <f t="shared" si="5"/>
        <v>手稲やまなみ子ども園</v>
      </c>
      <c r="AI9" s="1304">
        <f t="shared" si="5"/>
        <v>0</v>
      </c>
      <c r="AJ9" s="1304"/>
      <c r="AK9" s="1304"/>
      <c r="AL9" s="1304"/>
      <c r="AM9" s="1304"/>
      <c r="AN9" s="1304"/>
      <c r="AO9" s="1304"/>
      <c r="AP9" s="1304"/>
      <c r="AQ9" s="1304"/>
      <c r="AR9" s="1304"/>
      <c r="AS9" s="1304"/>
      <c r="AT9" s="1304"/>
      <c r="AU9" s="1304"/>
      <c r="AV9" s="1304"/>
      <c r="AW9" s="1304"/>
      <c r="AX9" s="1304"/>
      <c r="AY9" s="1304"/>
      <c r="AZ9" s="1304"/>
      <c r="BA9" s="1304"/>
      <c r="BB9" s="1304"/>
      <c r="BC9" s="1304"/>
      <c r="BD9" s="1304"/>
      <c r="BE9" s="1304"/>
      <c r="BF9" s="1304"/>
      <c r="BG9" s="1304"/>
      <c r="BH9" s="1304"/>
      <c r="BI9" s="1304"/>
      <c r="BJ9" s="1304"/>
      <c r="BK9" s="1304"/>
      <c r="BL9" s="1304"/>
      <c r="BM9" s="1304"/>
      <c r="BN9" s="1304"/>
      <c r="BO9" s="1304"/>
      <c r="BP9" s="1304"/>
      <c r="BQ9" s="1304"/>
      <c r="BR9" s="1304"/>
      <c r="BS9" s="1304"/>
      <c r="BT9" s="1304"/>
      <c r="BU9" s="1304"/>
      <c r="BV9" s="1304"/>
      <c r="BW9" s="1304"/>
      <c r="BX9" s="1304"/>
      <c r="BY9" s="1304"/>
      <c r="BZ9" s="1304"/>
      <c r="CA9" s="1304"/>
      <c r="CB9" s="1304"/>
      <c r="CC9" s="1304"/>
      <c r="CD9" s="1304"/>
      <c r="CE9" s="1304"/>
      <c r="CF9" s="1304"/>
      <c r="CG9" s="1304"/>
      <c r="CH9" s="1304"/>
      <c r="CI9" s="1304"/>
      <c r="CJ9" s="1304"/>
      <c r="CK9" s="1304"/>
      <c r="CL9" s="1304"/>
      <c r="CM9" s="1304"/>
      <c r="CN9" s="1304"/>
      <c r="CO9" s="1304"/>
      <c r="CP9" s="1304"/>
      <c r="CQ9" s="1304"/>
      <c r="CR9" s="1304"/>
      <c r="CS9" s="1305"/>
      <c r="CT9" s="1305"/>
      <c r="CU9" s="1305"/>
      <c r="CV9" s="1305"/>
      <c r="CW9" s="1305"/>
      <c r="CX9" s="1305"/>
      <c r="CY9" s="1305"/>
      <c r="CZ9" s="1305"/>
      <c r="DA9" s="29"/>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s="23" customFormat="1" ht="11.25" customHeight="1" outlineLevel="1">
      <c r="A10" s="16">
        <v>100085</v>
      </c>
      <c r="B10" s="20" t="s">
        <v>199</v>
      </c>
      <c r="C10" s="20" t="s">
        <v>531</v>
      </c>
      <c r="D10" s="20" t="s">
        <v>1069</v>
      </c>
      <c r="E10" s="20" t="s">
        <v>200</v>
      </c>
      <c r="F10" s="21" t="s">
        <v>1075</v>
      </c>
      <c r="G10" s="21">
        <v>150</v>
      </c>
      <c r="H10" s="21">
        <v>15</v>
      </c>
      <c r="I10" s="21">
        <v>15</v>
      </c>
      <c r="J10" s="42">
        <v>180</v>
      </c>
      <c r="K10" s="21">
        <v>150</v>
      </c>
      <c r="L10" s="21">
        <v>15</v>
      </c>
      <c r="M10" s="21">
        <v>5</v>
      </c>
      <c r="N10" s="21">
        <v>10</v>
      </c>
      <c r="O10" s="21">
        <v>15</v>
      </c>
      <c r="P10" s="21">
        <v>0</v>
      </c>
      <c r="Q10" s="21"/>
      <c r="R10" s="20">
        <f t="shared" si="1"/>
        <v>180</v>
      </c>
      <c r="S10" s="22">
        <f t="shared" si="2"/>
        <v>100085</v>
      </c>
      <c r="T10" s="22">
        <f>COUNTIF($V$4:V10,V10)</f>
        <v>7</v>
      </c>
      <c r="U10" s="22" t="str">
        <f>IF(T10=1,COUNTIF($T$4:T10,1),"")</f>
        <v/>
      </c>
      <c r="V10" s="23" t="str">
        <f t="shared" si="3"/>
        <v>中央区03認定こども園</v>
      </c>
      <c r="W10" s="23" t="str">
        <f t="shared" si="4"/>
        <v>認定こども園札幌大谷幼稚園</v>
      </c>
      <c r="X10" s="24">
        <v>6</v>
      </c>
      <c r="Y10" s="30" t="str">
        <f t="shared" si="5"/>
        <v>認定こども園幌西そらいろ保育園</v>
      </c>
      <c r="Z10" s="1304" t="str">
        <f t="shared" si="5"/>
        <v>創成札幌こども園</v>
      </c>
      <c r="AA10" s="1304" t="str">
        <f t="shared" si="5"/>
        <v>認定こども園聖ミカエル幼稚園</v>
      </c>
      <c r="AB10" s="1304" t="str">
        <f t="shared" si="5"/>
        <v>認定こども園北都</v>
      </c>
      <c r="AC10" s="1304" t="str">
        <f t="shared" si="5"/>
        <v>幼保連携型認定こども園ひばりが丘明星幼稚園</v>
      </c>
      <c r="AD10" s="1304" t="str">
        <f t="shared" si="5"/>
        <v>幼保連携型認定こども園なかのしま幼稚園</v>
      </c>
      <c r="AE10" s="1304" t="str">
        <f t="shared" si="5"/>
        <v>認定こども園つみき</v>
      </c>
      <c r="AF10" s="1304" t="str">
        <f t="shared" si="5"/>
        <v>光塩学園短期大学附属認定こども園</v>
      </c>
      <c r="AG10" s="1304" t="str">
        <f t="shared" si="5"/>
        <v>認定こども園平和あすみ保育園</v>
      </c>
      <c r="AH10" s="1304" t="str">
        <f t="shared" si="5"/>
        <v>認定こども園ほしおきガーデン星の子幼稚園</v>
      </c>
      <c r="AI10" s="1304">
        <f t="shared" si="5"/>
        <v>0</v>
      </c>
      <c r="AJ10" s="1304"/>
      <c r="AK10" s="1304"/>
      <c r="AL10" s="1304"/>
      <c r="AM10" s="1304"/>
      <c r="AN10" s="1304"/>
      <c r="AO10" s="1304"/>
      <c r="AP10" s="1304"/>
      <c r="AQ10" s="1304"/>
      <c r="AR10" s="1304"/>
      <c r="AS10" s="1304"/>
      <c r="AT10" s="1304"/>
      <c r="AU10" s="1304"/>
      <c r="AV10" s="1304"/>
      <c r="AW10" s="1304"/>
      <c r="AX10" s="1304"/>
      <c r="AY10" s="1304"/>
      <c r="AZ10" s="1304"/>
      <c r="BA10" s="1304"/>
      <c r="BB10" s="1304"/>
      <c r="BC10" s="1304"/>
      <c r="BD10" s="1304"/>
      <c r="BE10" s="1304"/>
      <c r="BF10" s="1304"/>
      <c r="BG10" s="1304"/>
      <c r="BH10" s="1304"/>
      <c r="BI10" s="1304"/>
      <c r="BJ10" s="1304"/>
      <c r="BK10" s="1304"/>
      <c r="BL10" s="1304"/>
      <c r="BM10" s="1304"/>
      <c r="BN10" s="1304"/>
      <c r="BO10" s="1304"/>
      <c r="BP10" s="1304"/>
      <c r="BQ10" s="1304"/>
      <c r="BR10" s="1304"/>
      <c r="BS10" s="1304"/>
      <c r="BT10" s="1304"/>
      <c r="BU10" s="1304"/>
      <c r="BV10" s="1304"/>
      <c r="BW10" s="1304"/>
      <c r="BX10" s="1304"/>
      <c r="BY10" s="1304"/>
      <c r="BZ10" s="1304"/>
      <c r="CA10" s="1304"/>
      <c r="CB10" s="1304"/>
      <c r="CC10" s="1304"/>
      <c r="CD10" s="1304"/>
      <c r="CE10" s="1304"/>
      <c r="CF10" s="1304"/>
      <c r="CG10" s="1304"/>
      <c r="CH10" s="1304"/>
      <c r="CI10" s="1304"/>
      <c r="CJ10" s="1304"/>
      <c r="CK10" s="1304"/>
      <c r="CL10" s="1304"/>
      <c r="CM10" s="1304"/>
      <c r="CN10" s="1304"/>
      <c r="CO10" s="1304"/>
      <c r="CP10" s="1304"/>
      <c r="CQ10" s="1304"/>
      <c r="CR10" s="1304"/>
      <c r="CS10" s="1305"/>
      <c r="CT10" s="1305"/>
      <c r="CU10" s="1305"/>
      <c r="CV10" s="1305"/>
      <c r="CW10" s="1305"/>
      <c r="CX10" s="1305"/>
      <c r="CY10" s="1305"/>
      <c r="CZ10" s="1305"/>
      <c r="DA10" s="29"/>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s="23" customFormat="1" ht="11.25" customHeight="1" outlineLevel="1">
      <c r="A11" s="16">
        <v>100104</v>
      </c>
      <c r="B11" s="20" t="s">
        <v>199</v>
      </c>
      <c r="C11" s="20" t="s">
        <v>531</v>
      </c>
      <c r="D11" s="20" t="s">
        <v>1069</v>
      </c>
      <c r="E11" s="20" t="s">
        <v>200</v>
      </c>
      <c r="F11" s="21" t="s">
        <v>1076</v>
      </c>
      <c r="G11" s="21">
        <v>15</v>
      </c>
      <c r="H11" s="21">
        <v>35</v>
      </c>
      <c r="I11" s="21">
        <v>25</v>
      </c>
      <c r="J11" s="42">
        <v>75</v>
      </c>
      <c r="K11" s="21">
        <v>15</v>
      </c>
      <c r="L11" s="21">
        <v>35</v>
      </c>
      <c r="M11" s="21">
        <v>3</v>
      </c>
      <c r="N11" s="21">
        <v>22</v>
      </c>
      <c r="O11" s="21">
        <v>25</v>
      </c>
      <c r="P11" s="21">
        <v>0</v>
      </c>
      <c r="Q11" s="21"/>
      <c r="R11" s="20">
        <f t="shared" si="1"/>
        <v>75</v>
      </c>
      <c r="S11" s="22">
        <f t="shared" si="2"/>
        <v>100104</v>
      </c>
      <c r="T11" s="22">
        <f>COUNTIF($V$4:V11,V11)</f>
        <v>8</v>
      </c>
      <c r="U11" s="22" t="str">
        <f>IF(T11=1,COUNTIF($T$4:T11,1),"")</f>
        <v/>
      </c>
      <c r="V11" s="23" t="str">
        <f t="shared" si="3"/>
        <v>中央区03認定こども園</v>
      </c>
      <c r="W11" s="23" t="str">
        <f t="shared" si="4"/>
        <v>認定こども園宮の森メープル保育園</v>
      </c>
      <c r="X11" s="24">
        <v>7</v>
      </c>
      <c r="Y11" s="30" t="str">
        <f t="shared" si="5"/>
        <v>認定こども園札幌大谷幼稚園</v>
      </c>
      <c r="Z11" s="1304" t="str">
        <f t="shared" si="5"/>
        <v>認定こども園太陽こころ幼稚園</v>
      </c>
      <c r="AA11" s="1304" t="str">
        <f t="shared" si="5"/>
        <v>幼保連携型認定こども園せいめいのもり</v>
      </c>
      <c r="AB11" s="1304" t="str">
        <f t="shared" si="5"/>
        <v>認定こども園北郷すずらん</v>
      </c>
      <c r="AC11" s="1304" t="str">
        <f t="shared" si="5"/>
        <v>認定こども園桜台いちい幼稚園・保育園</v>
      </c>
      <c r="AD11" s="1304" t="str">
        <f t="shared" si="5"/>
        <v>認定こども園しののめ</v>
      </c>
      <c r="AE11" s="1304" t="str">
        <f t="shared" si="5"/>
        <v>札幌国際大学付属認定こども園</v>
      </c>
      <c r="AF11" s="1304" t="str">
        <f t="shared" si="5"/>
        <v>幼保連携型認定こども園ときわみなみのこどもえん</v>
      </c>
      <c r="AG11" s="1304" t="str">
        <f t="shared" si="5"/>
        <v>幼保連携型認定こども園幸明幼稚園</v>
      </c>
      <c r="AH11" s="1304" t="str">
        <f t="shared" si="5"/>
        <v>幼保連携型認定こども園山王幼稚園</v>
      </c>
      <c r="AI11" s="1304">
        <f t="shared" si="5"/>
        <v>0</v>
      </c>
      <c r="AJ11" s="1304"/>
      <c r="AK11" s="1304"/>
      <c r="AL11" s="1304"/>
      <c r="AM11" s="1304"/>
      <c r="AN11" s="1304"/>
      <c r="AO11" s="1304"/>
      <c r="AP11" s="1304"/>
      <c r="AQ11" s="1304"/>
      <c r="AR11" s="1304"/>
      <c r="AS11" s="1304"/>
      <c r="AT11" s="1304"/>
      <c r="AU11" s="1304"/>
      <c r="AV11" s="1304"/>
      <c r="AW11" s="1304"/>
      <c r="AX11" s="1304"/>
      <c r="AY11" s="1304"/>
      <c r="AZ11" s="1304"/>
      <c r="BA11" s="1304"/>
      <c r="BB11" s="1304"/>
      <c r="BC11" s="1304"/>
      <c r="BD11" s="1304"/>
      <c r="BE11" s="1304"/>
      <c r="BF11" s="1304"/>
      <c r="BG11" s="1304"/>
      <c r="BH11" s="1304"/>
      <c r="BI11" s="1304"/>
      <c r="BJ11" s="1304"/>
      <c r="BK11" s="1304"/>
      <c r="BL11" s="1304"/>
      <c r="BM11" s="1304"/>
      <c r="BN11" s="1304"/>
      <c r="BO11" s="1304"/>
      <c r="BP11" s="1304"/>
      <c r="BQ11" s="1304"/>
      <c r="BR11" s="1304"/>
      <c r="BS11" s="1304"/>
      <c r="BT11" s="1304"/>
      <c r="BU11" s="1304"/>
      <c r="BV11" s="1304"/>
      <c r="BW11" s="1304"/>
      <c r="BX11" s="1304"/>
      <c r="BY11" s="1304"/>
      <c r="BZ11" s="1304"/>
      <c r="CA11" s="1304"/>
      <c r="CB11" s="1304"/>
      <c r="CC11" s="1304"/>
      <c r="CD11" s="1304"/>
      <c r="CE11" s="1304"/>
      <c r="CF11" s="1304"/>
      <c r="CG11" s="1304"/>
      <c r="CH11" s="1304"/>
      <c r="CI11" s="1304"/>
      <c r="CJ11" s="1304"/>
      <c r="CK11" s="1304"/>
      <c r="CL11" s="1304"/>
      <c r="CM11" s="1304"/>
      <c r="CN11" s="1304"/>
      <c r="CO11" s="1304"/>
      <c r="CP11" s="1304"/>
      <c r="CQ11" s="1304"/>
      <c r="CR11" s="1304"/>
      <c r="CS11" s="1305"/>
      <c r="CT11" s="1305"/>
      <c r="CU11" s="1305"/>
      <c r="CV11" s="1305"/>
      <c r="CW11" s="1305"/>
      <c r="CX11" s="1305"/>
      <c r="CY11" s="1305"/>
      <c r="CZ11" s="1305"/>
      <c r="DA11" s="29"/>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s="23" customFormat="1" ht="11.25" customHeight="1" outlineLevel="1">
      <c r="A12" s="16">
        <v>100055</v>
      </c>
      <c r="B12" s="20" t="s">
        <v>199</v>
      </c>
      <c r="C12" s="20" t="s">
        <v>531</v>
      </c>
      <c r="D12" s="20" t="s">
        <v>1072</v>
      </c>
      <c r="E12" s="20" t="s">
        <v>200</v>
      </c>
      <c r="F12" s="21" t="s">
        <v>1415</v>
      </c>
      <c r="G12" s="21">
        <v>45</v>
      </c>
      <c r="H12" s="21">
        <v>20</v>
      </c>
      <c r="I12" s="21">
        <v>0</v>
      </c>
      <c r="J12" s="42">
        <v>65</v>
      </c>
      <c r="K12" s="21">
        <v>45</v>
      </c>
      <c r="L12" s="21">
        <v>20</v>
      </c>
      <c r="M12" s="21">
        <v>0</v>
      </c>
      <c r="N12" s="21">
        <v>0</v>
      </c>
      <c r="O12" s="21">
        <v>0</v>
      </c>
      <c r="P12" s="21">
        <v>0</v>
      </c>
      <c r="Q12" s="21"/>
      <c r="R12" s="20">
        <f t="shared" si="1"/>
        <v>65</v>
      </c>
      <c r="S12" s="22">
        <f t="shared" si="2"/>
        <v>100055</v>
      </c>
      <c r="T12" s="22">
        <f>COUNTIF($V$4:V12,V12)</f>
        <v>9</v>
      </c>
      <c r="U12" s="22" t="str">
        <f>IF(T12=1,COUNTIF($T$4:T12,1),"")</f>
        <v/>
      </c>
      <c r="V12" s="23" t="str">
        <f t="shared" si="3"/>
        <v>中央区03認定こども園</v>
      </c>
      <c r="W12" s="23" t="str">
        <f t="shared" si="4"/>
        <v>認定こども園さゆり幼稚園</v>
      </c>
      <c r="X12" s="24">
        <v>8</v>
      </c>
      <c r="Y12" s="30" t="str">
        <f t="shared" si="5"/>
        <v>認定こども園宮の森メープル保育園</v>
      </c>
      <c r="Z12" s="1304" t="str">
        <f t="shared" si="5"/>
        <v>認定こども園こうほく</v>
      </c>
      <c r="AA12" s="1304" t="str">
        <f t="shared" si="5"/>
        <v>幼保連携型認定こども園ふしこ幼稚園</v>
      </c>
      <c r="AB12" s="1304" t="str">
        <f t="shared" si="5"/>
        <v>東橋いちい認定こども園</v>
      </c>
      <c r="AC12" s="1304" t="str">
        <f t="shared" si="5"/>
        <v>認定こども園第２あつべつ幼稚園</v>
      </c>
      <c r="AD12" s="1304" t="str">
        <f t="shared" si="5"/>
        <v>認定こども園札幌ゆたか幼稚園</v>
      </c>
      <c r="AE12" s="1304" t="str">
        <f t="shared" si="5"/>
        <v>認定こども園札幌きたの幼稚園</v>
      </c>
      <c r="AF12" s="1304" t="str">
        <f t="shared" si="5"/>
        <v>認定こども園定山渓保育園</v>
      </c>
      <c r="AG12" s="1304" t="str">
        <f t="shared" si="5"/>
        <v>認定こども園西町さつき保育園</v>
      </c>
      <c r="AH12" s="1304" t="str">
        <f t="shared" si="5"/>
        <v>認定こども園まえだ幼稚園</v>
      </c>
      <c r="AI12" s="1304">
        <f t="shared" si="5"/>
        <v>0</v>
      </c>
      <c r="AJ12" s="1304"/>
      <c r="AK12" s="1304"/>
      <c r="AL12" s="1304"/>
      <c r="AM12" s="1304"/>
      <c r="AN12" s="1304"/>
      <c r="AO12" s="1304"/>
      <c r="AP12" s="1304"/>
      <c r="AQ12" s="1304"/>
      <c r="AR12" s="1304"/>
      <c r="AS12" s="1304"/>
      <c r="AT12" s="1304"/>
      <c r="AU12" s="1304"/>
      <c r="AV12" s="1304"/>
      <c r="AW12" s="1304"/>
      <c r="AX12" s="1304"/>
      <c r="AY12" s="1304"/>
      <c r="AZ12" s="1304"/>
      <c r="BA12" s="1304"/>
      <c r="BB12" s="1304"/>
      <c r="BC12" s="1304"/>
      <c r="BD12" s="1304"/>
      <c r="BE12" s="1304"/>
      <c r="BF12" s="1304"/>
      <c r="BG12" s="1304"/>
      <c r="BH12" s="1304"/>
      <c r="BI12" s="1304"/>
      <c r="BJ12" s="1304"/>
      <c r="BK12" s="1304"/>
      <c r="BL12" s="1304"/>
      <c r="BM12" s="1304"/>
      <c r="BN12" s="1304"/>
      <c r="BO12" s="1304"/>
      <c r="BP12" s="1304"/>
      <c r="BQ12" s="1304"/>
      <c r="BR12" s="1304"/>
      <c r="BS12" s="1304"/>
      <c r="BT12" s="1304"/>
      <c r="BU12" s="1304"/>
      <c r="BV12" s="1304"/>
      <c r="BW12" s="1304"/>
      <c r="BX12" s="1304"/>
      <c r="BY12" s="1304"/>
      <c r="BZ12" s="1304"/>
      <c r="CA12" s="1304"/>
      <c r="CB12" s="1304"/>
      <c r="CC12" s="1304"/>
      <c r="CD12" s="1304"/>
      <c r="CE12" s="1304"/>
      <c r="CF12" s="1304"/>
      <c r="CG12" s="1304"/>
      <c r="CH12" s="1304"/>
      <c r="CI12" s="1304"/>
      <c r="CJ12" s="1304"/>
      <c r="CK12" s="1304"/>
      <c r="CL12" s="1304"/>
      <c r="CM12" s="1304"/>
      <c r="CN12" s="1304"/>
      <c r="CO12" s="1304"/>
      <c r="CP12" s="1304"/>
      <c r="CQ12" s="1304"/>
      <c r="CR12" s="1304"/>
      <c r="CS12" s="1305"/>
      <c r="CT12" s="1305"/>
      <c r="CU12" s="1305"/>
      <c r="CV12" s="1305"/>
      <c r="CW12" s="1305"/>
      <c r="CX12" s="1305"/>
      <c r="CY12" s="1305"/>
      <c r="CZ12" s="1305"/>
      <c r="DA12" s="29"/>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s="23" customFormat="1" ht="11.25" customHeight="1" outlineLevel="1">
      <c r="A13" s="16">
        <v>100075</v>
      </c>
      <c r="B13" s="20" t="s">
        <v>199</v>
      </c>
      <c r="C13" s="20" t="s">
        <v>531</v>
      </c>
      <c r="D13" s="20" t="s">
        <v>1072</v>
      </c>
      <c r="E13" s="20" t="s">
        <v>200</v>
      </c>
      <c r="F13" s="21" t="s">
        <v>1073</v>
      </c>
      <c r="G13" s="21">
        <v>120</v>
      </c>
      <c r="H13" s="21">
        <v>20</v>
      </c>
      <c r="I13" s="21">
        <v>0</v>
      </c>
      <c r="J13" s="42">
        <v>140</v>
      </c>
      <c r="K13" s="21">
        <v>75</v>
      </c>
      <c r="L13" s="21">
        <v>20</v>
      </c>
      <c r="M13" s="21">
        <v>0</v>
      </c>
      <c r="N13" s="21">
        <v>0</v>
      </c>
      <c r="O13" s="21">
        <v>0</v>
      </c>
      <c r="P13" s="21">
        <v>0</v>
      </c>
      <c r="Q13" s="21"/>
      <c r="R13" s="20">
        <f t="shared" si="1"/>
        <v>95</v>
      </c>
      <c r="S13" s="22">
        <f t="shared" si="2"/>
        <v>100075</v>
      </c>
      <c r="T13" s="22">
        <f>COUNTIF($V$4:V13,V13)</f>
        <v>10</v>
      </c>
      <c r="U13" s="22" t="str">
        <f>IF(T13=1,COUNTIF($T$4:T13,1),"")</f>
        <v/>
      </c>
      <c r="V13" s="23" t="str">
        <f t="shared" si="3"/>
        <v>中央区03認定こども園</v>
      </c>
      <c r="W13" s="23" t="str">
        <f t="shared" si="4"/>
        <v>認定こども園つぼみ幼稚園</v>
      </c>
      <c r="X13" s="24">
        <v>9</v>
      </c>
      <c r="Y13" s="30" t="str">
        <f t="shared" si="5"/>
        <v>認定こども園さゆり幼稚園</v>
      </c>
      <c r="Z13" s="1304" t="str">
        <f t="shared" si="5"/>
        <v>認定こども園ひまわり</v>
      </c>
      <c r="AA13" s="1304" t="str">
        <f t="shared" si="5"/>
        <v>幼保連携型認定こども園もえれのもり</v>
      </c>
      <c r="AB13" s="1304" t="str">
        <f t="shared" si="5"/>
        <v>認定こども園幌東</v>
      </c>
      <c r="AC13" s="1304" t="str">
        <f t="shared" si="5"/>
        <v>認定こども園虹の森カトリック幼稚園</v>
      </c>
      <c r="AD13" s="1304" t="str">
        <f t="shared" si="5"/>
        <v>認定こども園ひらぎし幼稚園</v>
      </c>
      <c r="AE13" s="1304" t="str">
        <f t="shared" si="5"/>
        <v>認定こども園清田保育園</v>
      </c>
      <c r="AF13" s="1304" t="str">
        <f t="shared" si="5"/>
        <v>真駒内保育園</v>
      </c>
      <c r="AG13" s="1304" t="str">
        <f t="shared" si="5"/>
        <v>認定こども園にしの</v>
      </c>
      <c r="AH13" s="1304" t="str">
        <f t="shared" si="5"/>
        <v>認定こども園おおぞら幼稚園</v>
      </c>
      <c r="AI13" s="1304">
        <f t="shared" si="5"/>
        <v>0</v>
      </c>
      <c r="AJ13" s="1304"/>
      <c r="AK13" s="1304"/>
      <c r="AL13" s="1304"/>
      <c r="AM13" s="1304"/>
      <c r="AN13" s="1304"/>
      <c r="AO13" s="1304"/>
      <c r="AP13" s="1304"/>
      <c r="AQ13" s="1304"/>
      <c r="AR13" s="1304"/>
      <c r="AS13" s="1304"/>
      <c r="AT13" s="1304"/>
      <c r="AU13" s="1304"/>
      <c r="AV13" s="1304"/>
      <c r="AW13" s="1304"/>
      <c r="AX13" s="1304"/>
      <c r="AY13" s="1304"/>
      <c r="AZ13" s="1304"/>
      <c r="BA13" s="1304"/>
      <c r="BB13" s="1304"/>
      <c r="BC13" s="1304"/>
      <c r="BD13" s="1304"/>
      <c r="BE13" s="1304"/>
      <c r="BF13" s="1304"/>
      <c r="BG13" s="1304"/>
      <c r="BH13" s="1304"/>
      <c r="BI13" s="1304"/>
      <c r="BJ13" s="1304"/>
      <c r="BK13" s="1304"/>
      <c r="BL13" s="1304"/>
      <c r="BM13" s="1304"/>
      <c r="BN13" s="1304"/>
      <c r="BO13" s="1304"/>
      <c r="BP13" s="1304"/>
      <c r="BQ13" s="1304"/>
      <c r="BR13" s="1304"/>
      <c r="BS13" s="1304"/>
      <c r="BT13" s="1304"/>
      <c r="BU13" s="1304"/>
      <c r="BV13" s="1304"/>
      <c r="BW13" s="1304"/>
      <c r="BX13" s="1304"/>
      <c r="BY13" s="1304"/>
      <c r="BZ13" s="1304"/>
      <c r="CA13" s="1304"/>
      <c r="CB13" s="1304"/>
      <c r="CC13" s="1304"/>
      <c r="CD13" s="1304"/>
      <c r="CE13" s="1304"/>
      <c r="CF13" s="1304"/>
      <c r="CG13" s="1304"/>
      <c r="CH13" s="1304"/>
      <c r="CI13" s="1304"/>
      <c r="CJ13" s="1304"/>
      <c r="CK13" s="1304"/>
      <c r="CL13" s="1304"/>
      <c r="CM13" s="1304"/>
      <c r="CN13" s="1304"/>
      <c r="CO13" s="1304"/>
      <c r="CP13" s="1304"/>
      <c r="CQ13" s="1304"/>
      <c r="CR13" s="1304"/>
      <c r="CS13" s="1305"/>
      <c r="CT13" s="1305"/>
      <c r="CU13" s="1305"/>
      <c r="CV13" s="1305"/>
      <c r="CW13" s="1305"/>
      <c r="CX13" s="1305"/>
      <c r="CY13" s="1305"/>
      <c r="CZ13" s="1305"/>
      <c r="DA13" s="29"/>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s="23" customFormat="1" ht="11.25" customHeight="1" outlineLevel="1">
      <c r="A14" s="16">
        <v>100082</v>
      </c>
      <c r="B14" s="20" t="s">
        <v>199</v>
      </c>
      <c r="C14" s="20" t="s">
        <v>531</v>
      </c>
      <c r="D14" s="20" t="s">
        <v>1072</v>
      </c>
      <c r="E14" s="20" t="s">
        <v>200</v>
      </c>
      <c r="F14" s="21" t="s">
        <v>1286</v>
      </c>
      <c r="G14" s="21">
        <v>220</v>
      </c>
      <c r="H14" s="21">
        <v>20</v>
      </c>
      <c r="I14" s="21">
        <v>0</v>
      </c>
      <c r="J14" s="42">
        <v>240</v>
      </c>
      <c r="K14" s="21">
        <v>210</v>
      </c>
      <c r="L14" s="21">
        <v>20</v>
      </c>
      <c r="M14" s="21">
        <v>0</v>
      </c>
      <c r="N14" s="21">
        <v>0</v>
      </c>
      <c r="O14" s="21">
        <v>0</v>
      </c>
      <c r="P14" s="21">
        <v>0</v>
      </c>
      <c r="Q14" s="21"/>
      <c r="R14" s="20">
        <f t="shared" si="1"/>
        <v>230</v>
      </c>
      <c r="S14" s="22">
        <f t="shared" si="2"/>
        <v>100082</v>
      </c>
      <c r="T14" s="22">
        <f>COUNTIF($V$4:V14,V14)</f>
        <v>11</v>
      </c>
      <c r="U14" s="22" t="str">
        <f>IF(T14=1,COUNTIF($T$4:T14,1),"")</f>
        <v/>
      </c>
      <c r="V14" s="23" t="str">
        <f t="shared" si="3"/>
        <v>中央区03認定こども園</v>
      </c>
      <c r="W14" s="23" t="str">
        <f t="shared" si="4"/>
        <v>幼稚園型認定こども園大通幼稚園</v>
      </c>
      <c r="X14" s="24">
        <v>10</v>
      </c>
      <c r="Y14" s="30" t="str">
        <f t="shared" si="5"/>
        <v>認定こども園つぼみ幼稚園</v>
      </c>
      <c r="Z14" s="1304" t="str">
        <f t="shared" si="5"/>
        <v>認定こども園はなぞの</v>
      </c>
      <c r="AA14" s="1304" t="str">
        <f t="shared" si="5"/>
        <v>認定こども園栄光幼稚園</v>
      </c>
      <c r="AB14" s="1304" t="str">
        <f t="shared" si="5"/>
        <v>菊水いちい認定こども園</v>
      </c>
      <c r="AC14" s="1304" t="str">
        <f t="shared" si="5"/>
        <v>認定こども園もみじ台幼稚園</v>
      </c>
      <c r="AD14" s="1304" t="str">
        <f t="shared" si="5"/>
        <v>認定こども園月寒そらいろ保育園</v>
      </c>
      <c r="AE14" s="1304" t="str">
        <f t="shared" si="5"/>
        <v>札幌北野保育園</v>
      </c>
      <c r="AF14" s="1304" t="str">
        <f t="shared" si="5"/>
        <v>認定こども園澄川保育園</v>
      </c>
      <c r="AG14" s="1304" t="str">
        <f t="shared" si="5"/>
        <v>琴似あやめ保育園</v>
      </c>
      <c r="AH14" s="1304" t="str">
        <f t="shared" si="5"/>
        <v>しんはっさむライラックこども園</v>
      </c>
      <c r="AI14" s="1304">
        <f t="shared" si="5"/>
        <v>0</v>
      </c>
      <c r="AJ14" s="1304"/>
      <c r="AK14" s="1304"/>
      <c r="AL14" s="1304"/>
      <c r="AM14" s="1304"/>
      <c r="AN14" s="1304"/>
      <c r="AO14" s="1304"/>
      <c r="AP14" s="1304"/>
      <c r="AQ14" s="1304"/>
      <c r="AR14" s="1304"/>
      <c r="AS14" s="1304"/>
      <c r="AT14" s="1304"/>
      <c r="AU14" s="1304"/>
      <c r="AV14" s="1304"/>
      <c r="AW14" s="1304"/>
      <c r="AX14" s="1304"/>
      <c r="AY14" s="1304"/>
      <c r="AZ14" s="1304"/>
      <c r="BA14" s="1304"/>
      <c r="BB14" s="1304"/>
      <c r="BC14" s="1304"/>
      <c r="BD14" s="1304"/>
      <c r="BE14" s="1304"/>
      <c r="BF14" s="1304"/>
      <c r="BG14" s="1304"/>
      <c r="BH14" s="1304"/>
      <c r="BI14" s="1304"/>
      <c r="BJ14" s="1304"/>
      <c r="BK14" s="1304"/>
      <c r="BL14" s="1304"/>
      <c r="BM14" s="1304"/>
      <c r="BN14" s="1304"/>
      <c r="BO14" s="1304"/>
      <c r="BP14" s="1304"/>
      <c r="BQ14" s="1304"/>
      <c r="BR14" s="1304"/>
      <c r="BS14" s="1304"/>
      <c r="BT14" s="1304"/>
      <c r="BU14" s="1304"/>
      <c r="BV14" s="1304"/>
      <c r="BW14" s="1304"/>
      <c r="BX14" s="1304"/>
      <c r="BY14" s="1304"/>
      <c r="BZ14" s="1304"/>
      <c r="CA14" s="1304"/>
      <c r="CB14" s="1304"/>
      <c r="CC14" s="1304"/>
      <c r="CD14" s="1304"/>
      <c r="CE14" s="1304"/>
      <c r="CF14" s="1304"/>
      <c r="CG14" s="1304"/>
      <c r="CH14" s="1304"/>
      <c r="CI14" s="1304"/>
      <c r="CJ14" s="1304"/>
      <c r="CK14" s="1304"/>
      <c r="CL14" s="1304"/>
      <c r="CM14" s="1304"/>
      <c r="CN14" s="1304"/>
      <c r="CO14" s="1304"/>
      <c r="CP14" s="1304"/>
      <c r="CQ14" s="1304"/>
      <c r="CR14" s="1304"/>
      <c r="CS14" s="1305"/>
      <c r="CT14" s="1305"/>
      <c r="CU14" s="1305"/>
      <c r="CV14" s="1305"/>
      <c r="CW14" s="1305"/>
      <c r="CX14" s="1305"/>
      <c r="CY14" s="1305"/>
      <c r="CZ14" s="1305"/>
      <c r="DA14" s="29"/>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s="23" customFormat="1" ht="11.25" customHeight="1" outlineLevel="1">
      <c r="A15" s="16">
        <v>100003</v>
      </c>
      <c r="B15" s="20" t="s">
        <v>199</v>
      </c>
      <c r="C15" s="20" t="s">
        <v>531</v>
      </c>
      <c r="D15" s="20" t="s">
        <v>1067</v>
      </c>
      <c r="E15" s="20" t="s">
        <v>200</v>
      </c>
      <c r="F15" s="21" t="s">
        <v>1068</v>
      </c>
      <c r="G15" s="21">
        <v>6</v>
      </c>
      <c r="H15" s="21">
        <v>33</v>
      </c>
      <c r="I15" s="21">
        <v>27</v>
      </c>
      <c r="J15" s="42">
        <v>66</v>
      </c>
      <c r="K15" s="21">
        <v>6</v>
      </c>
      <c r="L15" s="21">
        <v>33</v>
      </c>
      <c r="M15" s="21">
        <v>7</v>
      </c>
      <c r="N15" s="21">
        <v>20</v>
      </c>
      <c r="O15" s="21">
        <v>27</v>
      </c>
      <c r="P15" s="21">
        <v>0</v>
      </c>
      <c r="Q15" s="21"/>
      <c r="R15" s="20">
        <f t="shared" si="1"/>
        <v>66</v>
      </c>
      <c r="S15" s="22">
        <f t="shared" si="2"/>
        <v>100003</v>
      </c>
      <c r="T15" s="22">
        <f>COUNTIF($V$4:V15,V15)</f>
        <v>12</v>
      </c>
      <c r="U15" s="22" t="str">
        <f>IF(T15=1,COUNTIF($T$4:T15,1),"")</f>
        <v/>
      </c>
      <c r="V15" s="23" t="str">
        <f t="shared" si="3"/>
        <v>中央区03認定こども園</v>
      </c>
      <c r="W15" s="23" t="str">
        <f t="shared" si="4"/>
        <v>札幌認定こども園</v>
      </c>
      <c r="X15" s="24">
        <v>11</v>
      </c>
      <c r="Y15" s="30" t="str">
        <f t="shared" si="5"/>
        <v>幼稚園型認定こども園大通幼稚園</v>
      </c>
      <c r="Z15" s="1304" t="str">
        <f t="shared" si="5"/>
        <v>認定こども園あいの里</v>
      </c>
      <c r="AA15" s="1304" t="str">
        <f t="shared" si="5"/>
        <v>幼保連携型認定こども園もえれ保育園</v>
      </c>
      <c r="AB15" s="1304" t="str">
        <f t="shared" si="5"/>
        <v>認定こども園北郷あゆみ幼稚園</v>
      </c>
      <c r="AC15" s="1304" t="str">
        <f t="shared" si="5"/>
        <v>認定こども園札幌あおば幼稚園</v>
      </c>
      <c r="AD15" s="1304" t="str">
        <f t="shared" si="5"/>
        <v>こりっつ認定こども園</v>
      </c>
      <c r="AE15" s="1304" t="str">
        <f t="shared" si="5"/>
        <v>認定こども園札幌南清田保育園</v>
      </c>
      <c r="AF15" s="1304" t="str">
        <f t="shared" si="5"/>
        <v>認定こども園札幌石山保育園</v>
      </c>
      <c r="AG15" s="1304" t="str">
        <f t="shared" si="5"/>
        <v>発寒ひかり保育園</v>
      </c>
      <c r="AH15" s="1304" t="str">
        <f t="shared" si="5"/>
        <v>認定こども園いなほガーデン星の子幼稚園</v>
      </c>
      <c r="AI15" s="1304">
        <f t="shared" si="5"/>
        <v>0</v>
      </c>
      <c r="AJ15" s="1304"/>
      <c r="AK15" s="1304"/>
      <c r="AL15" s="1304"/>
      <c r="AM15" s="1304"/>
      <c r="AN15" s="1304"/>
      <c r="AO15" s="1304"/>
      <c r="AP15" s="1304"/>
      <c r="AQ15" s="1304"/>
      <c r="AR15" s="1304"/>
      <c r="AS15" s="1304"/>
      <c r="AT15" s="1304"/>
      <c r="AU15" s="1304"/>
      <c r="AV15" s="1304"/>
      <c r="AW15" s="1304"/>
      <c r="AX15" s="1304"/>
      <c r="AY15" s="1304"/>
      <c r="AZ15" s="1304"/>
      <c r="BA15" s="1304"/>
      <c r="BB15" s="1304"/>
      <c r="BC15" s="1304"/>
      <c r="BD15" s="1304"/>
      <c r="BE15" s="1304"/>
      <c r="BF15" s="1304"/>
      <c r="BG15" s="1304"/>
      <c r="BH15" s="1304"/>
      <c r="BI15" s="1304"/>
      <c r="BJ15" s="1304"/>
      <c r="BK15" s="1304"/>
      <c r="BL15" s="1304"/>
      <c r="BM15" s="1304"/>
      <c r="BN15" s="1304"/>
      <c r="BO15" s="1304"/>
      <c r="BP15" s="1304"/>
      <c r="BQ15" s="1304"/>
      <c r="BR15" s="1304"/>
      <c r="BS15" s="1304"/>
      <c r="BT15" s="1304"/>
      <c r="BU15" s="1304"/>
      <c r="BV15" s="1304"/>
      <c r="BW15" s="1304"/>
      <c r="BX15" s="1304"/>
      <c r="BY15" s="1304"/>
      <c r="BZ15" s="1304"/>
      <c r="CA15" s="1304"/>
      <c r="CB15" s="1304"/>
      <c r="CC15" s="1304"/>
      <c r="CD15" s="1304"/>
      <c r="CE15" s="1304"/>
      <c r="CF15" s="1304"/>
      <c r="CG15" s="1304"/>
      <c r="CH15" s="1304"/>
      <c r="CI15" s="1304"/>
      <c r="CJ15" s="1304"/>
      <c r="CK15" s="1304"/>
      <c r="CL15" s="1304"/>
      <c r="CM15" s="1304"/>
      <c r="CN15" s="1304"/>
      <c r="CO15" s="1304"/>
      <c r="CP15" s="1304"/>
      <c r="CQ15" s="1304"/>
      <c r="CR15" s="1304"/>
      <c r="CS15" s="1305"/>
      <c r="CT15" s="1305"/>
      <c r="CU15" s="1305"/>
      <c r="CV15" s="1305"/>
      <c r="CW15" s="1305"/>
      <c r="CX15" s="1305"/>
      <c r="CY15" s="1305"/>
      <c r="CZ15" s="1305"/>
      <c r="DA15" s="29"/>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s="23" customFormat="1" ht="11.25" customHeight="1" outlineLevel="1">
      <c r="A16" s="16">
        <v>100004</v>
      </c>
      <c r="B16" s="20" t="s">
        <v>199</v>
      </c>
      <c r="C16" s="20" t="s">
        <v>531</v>
      </c>
      <c r="D16" s="20" t="s">
        <v>1284</v>
      </c>
      <c r="E16" s="20" t="s">
        <v>200</v>
      </c>
      <c r="F16" s="21" t="s">
        <v>1545</v>
      </c>
      <c r="G16" s="21">
        <v>9</v>
      </c>
      <c r="H16" s="21">
        <v>51</v>
      </c>
      <c r="I16" s="21">
        <v>39</v>
      </c>
      <c r="J16" s="42">
        <v>99</v>
      </c>
      <c r="K16" s="21">
        <v>9</v>
      </c>
      <c r="L16" s="21">
        <v>39</v>
      </c>
      <c r="M16" s="21">
        <v>6</v>
      </c>
      <c r="N16" s="21">
        <v>25</v>
      </c>
      <c r="O16" s="21">
        <v>31</v>
      </c>
      <c r="P16" s="21">
        <v>0</v>
      </c>
      <c r="Q16" s="21"/>
      <c r="R16" s="20">
        <f t="shared" si="1"/>
        <v>79</v>
      </c>
      <c r="S16" s="22">
        <f t="shared" si="2"/>
        <v>100004</v>
      </c>
      <c r="T16" s="22">
        <f>COUNTIF($V$4:V16,V16)</f>
        <v>13</v>
      </c>
      <c r="U16" s="22" t="str">
        <f>IF(T16=1,COUNTIF($T$4:T16,1),"")</f>
        <v/>
      </c>
      <c r="V16" s="23" t="str">
        <f t="shared" si="3"/>
        <v>中央区03認定こども園</v>
      </c>
      <c r="W16" s="23" t="str">
        <f t="shared" si="4"/>
        <v>救世軍桑園保育所</v>
      </c>
      <c r="X16" s="24">
        <v>12</v>
      </c>
      <c r="Y16" s="30" t="str">
        <f t="shared" si="5"/>
        <v>札幌認定こども園</v>
      </c>
      <c r="Z16" s="1304" t="str">
        <f t="shared" si="5"/>
        <v>認定こども園麻生明星幼稚園</v>
      </c>
      <c r="AA16" s="1304" t="str">
        <f t="shared" si="5"/>
        <v>幼保連携型認定こども園東苗穂スパークル園</v>
      </c>
      <c r="AB16" s="1304" t="str">
        <f t="shared" si="5"/>
        <v>北都幼稚園</v>
      </c>
      <c r="AC16" s="1304" t="str">
        <f t="shared" si="5"/>
        <v>青葉興正こども園</v>
      </c>
      <c r="AD16" s="1304" t="str">
        <f t="shared" si="5"/>
        <v>認定こども園札幌若葉幼稚園</v>
      </c>
      <c r="AE16" s="1304" t="str">
        <f t="shared" si="5"/>
        <v>認定こども園札幌あさひ保育園</v>
      </c>
      <c r="AF16" s="1304" t="str">
        <f t="shared" si="5"/>
        <v>もいわ中央こども園</v>
      </c>
      <c r="AG16" s="1304" t="str">
        <f t="shared" si="5"/>
        <v>八軒太陽の子保育園</v>
      </c>
      <c r="AH16" s="1304" t="str">
        <f t="shared" si="5"/>
        <v>あかつき山口保育園</v>
      </c>
      <c r="AI16" s="1304">
        <f t="shared" si="5"/>
        <v>0</v>
      </c>
      <c r="AJ16" s="1304"/>
      <c r="AK16" s="1304"/>
      <c r="AL16" s="1304"/>
      <c r="AM16" s="1304"/>
      <c r="AN16" s="1304"/>
      <c r="AO16" s="1304"/>
      <c r="AP16" s="1304"/>
      <c r="AQ16" s="1304"/>
      <c r="AR16" s="1304"/>
      <c r="AS16" s="1304"/>
      <c r="AT16" s="1304"/>
      <c r="AU16" s="1304"/>
      <c r="AV16" s="1304"/>
      <c r="AW16" s="1304"/>
      <c r="AX16" s="1304"/>
      <c r="AY16" s="1304"/>
      <c r="AZ16" s="1304"/>
      <c r="BA16" s="1304"/>
      <c r="BB16" s="1304"/>
      <c r="BC16" s="1304"/>
      <c r="BD16" s="1304"/>
      <c r="BE16" s="1304"/>
      <c r="BF16" s="1304"/>
      <c r="BG16" s="1304"/>
      <c r="BH16" s="1304"/>
      <c r="BI16" s="1304"/>
      <c r="BJ16" s="1304"/>
      <c r="BK16" s="1304"/>
      <c r="BL16" s="1304"/>
      <c r="BM16" s="1304"/>
      <c r="BN16" s="1304"/>
      <c r="BO16" s="1304"/>
      <c r="BP16" s="1304"/>
      <c r="BQ16" s="1304"/>
      <c r="BR16" s="1304"/>
      <c r="BS16" s="1304"/>
      <c r="BT16" s="1304"/>
      <c r="BU16" s="1304"/>
      <c r="BV16" s="1304"/>
      <c r="BW16" s="1304"/>
      <c r="BX16" s="1304"/>
      <c r="BY16" s="1304"/>
      <c r="BZ16" s="1304"/>
      <c r="CA16" s="1304"/>
      <c r="CB16" s="1304"/>
      <c r="CC16" s="1304"/>
      <c r="CD16" s="1304"/>
      <c r="CE16" s="1304"/>
      <c r="CF16" s="1304"/>
      <c r="CG16" s="1304"/>
      <c r="CH16" s="1304"/>
      <c r="CI16" s="1304"/>
      <c r="CJ16" s="1304"/>
      <c r="CK16" s="1304"/>
      <c r="CL16" s="1304"/>
      <c r="CM16" s="1304"/>
      <c r="CN16" s="1304"/>
      <c r="CO16" s="1304"/>
      <c r="CP16" s="1304"/>
      <c r="CQ16" s="1304"/>
      <c r="CR16" s="1304"/>
      <c r="CS16" s="1305"/>
      <c r="CT16" s="1305"/>
      <c r="CU16" s="1305"/>
      <c r="CV16" s="1305"/>
      <c r="CW16" s="1305"/>
      <c r="CX16" s="1305"/>
      <c r="CY16" s="1305"/>
      <c r="CZ16" s="1305"/>
      <c r="DA16" s="29"/>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s="23" customFormat="1" ht="11.25" customHeight="1" outlineLevel="1">
      <c r="A17" s="16">
        <v>100008</v>
      </c>
      <c r="B17" s="20" t="s">
        <v>199</v>
      </c>
      <c r="C17" s="20" t="s">
        <v>531</v>
      </c>
      <c r="D17" s="20" t="s">
        <v>1284</v>
      </c>
      <c r="E17" s="20" t="s">
        <v>200</v>
      </c>
      <c r="F17" s="21" t="s">
        <v>1546</v>
      </c>
      <c r="G17" s="21">
        <v>9</v>
      </c>
      <c r="H17" s="21">
        <v>51</v>
      </c>
      <c r="I17" s="21">
        <v>39</v>
      </c>
      <c r="J17" s="42">
        <v>99</v>
      </c>
      <c r="K17" s="21">
        <v>9</v>
      </c>
      <c r="L17" s="21">
        <v>45</v>
      </c>
      <c r="M17" s="21">
        <v>6</v>
      </c>
      <c r="N17" s="21">
        <v>29</v>
      </c>
      <c r="O17" s="21">
        <v>35</v>
      </c>
      <c r="P17" s="21">
        <v>0</v>
      </c>
      <c r="Q17" s="21"/>
      <c r="R17" s="20">
        <f t="shared" si="1"/>
        <v>89</v>
      </c>
      <c r="S17" s="22">
        <f t="shared" si="2"/>
        <v>100008</v>
      </c>
      <c r="T17" s="22">
        <f>COUNTIF($V$4:V17,V17)</f>
        <v>14</v>
      </c>
      <c r="U17" s="22" t="str">
        <f>IF(T17=1,COUNTIF($T$4:T17,1),"")</f>
        <v/>
      </c>
      <c r="V17" s="23" t="str">
        <f t="shared" si="3"/>
        <v>中央区03認定こども園</v>
      </c>
      <c r="W17" s="23" t="str">
        <f t="shared" si="4"/>
        <v>認定こども園愛育保育園</v>
      </c>
      <c r="X17" s="24">
        <v>13</v>
      </c>
      <c r="Y17" s="30" t="str">
        <f t="shared" si="5"/>
        <v>救世軍桑園保育所</v>
      </c>
      <c r="Z17" s="1304" t="str">
        <f t="shared" si="5"/>
        <v>認定こども園茨戸メリー幼稚園</v>
      </c>
      <c r="AA17" s="1304" t="str">
        <f t="shared" si="5"/>
        <v>認定こども園札幌あかしや幼稚園</v>
      </c>
      <c r="AB17" s="1304" t="str">
        <f t="shared" si="5"/>
        <v>認定こども園ピッコリーノ学院</v>
      </c>
      <c r="AC17" s="1304" t="str">
        <f t="shared" si="5"/>
        <v>厚別西認定こども園</v>
      </c>
      <c r="AD17" s="1304" t="str">
        <f t="shared" si="5"/>
        <v>認定こども園札幌第一幼稚園</v>
      </c>
      <c r="AE17" s="1304" t="str">
        <f t="shared" si="5"/>
        <v>認定こども園札幌真栄東保育園</v>
      </c>
      <c r="AF17" s="1304" t="str">
        <f t="shared" si="5"/>
        <v>認定こども園まこまないみどりまち保育園</v>
      </c>
      <c r="AG17" s="1304" t="str">
        <f t="shared" si="5"/>
        <v>手稲東保育園</v>
      </c>
      <c r="AH17" s="1304" t="str">
        <f t="shared" si="5"/>
        <v>手稲曙保育園</v>
      </c>
      <c r="AI17" s="1304">
        <f t="shared" si="5"/>
        <v>0</v>
      </c>
      <c r="AJ17" s="1304"/>
      <c r="AK17" s="1304"/>
      <c r="AL17" s="1304"/>
      <c r="AM17" s="1304"/>
      <c r="AN17" s="1304"/>
      <c r="AO17" s="1304"/>
      <c r="AP17" s="1304"/>
      <c r="AQ17" s="1304"/>
      <c r="AR17" s="1304"/>
      <c r="AS17" s="1304"/>
      <c r="AT17" s="1304"/>
      <c r="AU17" s="1304"/>
      <c r="AV17" s="1304"/>
      <c r="AW17" s="1304"/>
      <c r="AX17" s="1304"/>
      <c r="AY17" s="1304"/>
      <c r="AZ17" s="1304"/>
      <c r="BA17" s="1304"/>
      <c r="BB17" s="1304"/>
      <c r="BC17" s="1304"/>
      <c r="BD17" s="1304"/>
      <c r="BE17" s="1304"/>
      <c r="BF17" s="1304"/>
      <c r="BG17" s="1304"/>
      <c r="BH17" s="1304"/>
      <c r="BI17" s="1304"/>
      <c r="BJ17" s="1304"/>
      <c r="BK17" s="1304"/>
      <c r="BL17" s="1304"/>
      <c r="BM17" s="1304"/>
      <c r="BN17" s="1304"/>
      <c r="BO17" s="1304"/>
      <c r="BP17" s="1304"/>
      <c r="BQ17" s="1304"/>
      <c r="BR17" s="1304"/>
      <c r="BS17" s="1304"/>
      <c r="BT17" s="1304"/>
      <c r="BU17" s="1304"/>
      <c r="BV17" s="1304"/>
      <c r="BW17" s="1304"/>
      <c r="BX17" s="1304"/>
      <c r="BY17" s="1304"/>
      <c r="BZ17" s="1304"/>
      <c r="CA17" s="1304"/>
      <c r="CB17" s="1304"/>
      <c r="CC17" s="1304"/>
      <c r="CD17" s="1304"/>
      <c r="CE17" s="1304"/>
      <c r="CF17" s="1304"/>
      <c r="CG17" s="1304"/>
      <c r="CH17" s="1304"/>
      <c r="CI17" s="1304"/>
      <c r="CJ17" s="1304"/>
      <c r="CK17" s="1304"/>
      <c r="CL17" s="1304"/>
      <c r="CM17" s="1304"/>
      <c r="CN17" s="1304"/>
      <c r="CO17" s="1304"/>
      <c r="CP17" s="1304"/>
      <c r="CQ17" s="1304"/>
      <c r="CR17" s="1304"/>
      <c r="CS17" s="1305"/>
      <c r="CT17" s="1305"/>
      <c r="CU17" s="1305"/>
      <c r="CV17" s="1305"/>
      <c r="CW17" s="1305"/>
      <c r="CX17" s="1305"/>
      <c r="CY17" s="1305"/>
      <c r="CZ17" s="1305"/>
      <c r="DA17" s="29"/>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s="23" customFormat="1" ht="11.25" customHeight="1" outlineLevel="1">
      <c r="A18" s="16">
        <v>100009</v>
      </c>
      <c r="B18" s="20" t="s">
        <v>199</v>
      </c>
      <c r="C18" s="20" t="s">
        <v>531</v>
      </c>
      <c r="D18" s="20" t="s">
        <v>1067</v>
      </c>
      <c r="E18" s="20" t="s">
        <v>200</v>
      </c>
      <c r="F18" s="21" t="s">
        <v>1416</v>
      </c>
      <c r="G18" s="21">
        <v>15</v>
      </c>
      <c r="H18" s="21">
        <v>99</v>
      </c>
      <c r="I18" s="21">
        <v>81</v>
      </c>
      <c r="J18" s="42">
        <v>195</v>
      </c>
      <c r="K18" s="21">
        <v>15</v>
      </c>
      <c r="L18" s="21">
        <v>87</v>
      </c>
      <c r="M18" s="21">
        <v>15</v>
      </c>
      <c r="N18" s="21">
        <v>58</v>
      </c>
      <c r="O18" s="21">
        <v>73</v>
      </c>
      <c r="P18" s="21">
        <v>0</v>
      </c>
      <c r="Q18" s="21"/>
      <c r="R18" s="20">
        <f t="shared" si="1"/>
        <v>175</v>
      </c>
      <c r="S18" s="22">
        <f t="shared" si="2"/>
        <v>100009</v>
      </c>
      <c r="T18" s="22">
        <f>COUNTIF($V$4:V18,V18)</f>
        <v>15</v>
      </c>
      <c r="U18" s="22" t="str">
        <f>IF(T18=1,COUNTIF($T$4:T18,1),"")</f>
        <v/>
      </c>
      <c r="V18" s="23" t="str">
        <f t="shared" si="3"/>
        <v>中央区03認定こども園</v>
      </c>
      <c r="W18" s="23" t="str">
        <f t="shared" si="4"/>
        <v>旭ヶ丘保育園</v>
      </c>
      <c r="X18" s="24">
        <v>14</v>
      </c>
      <c r="Y18" s="30" t="str">
        <f t="shared" si="5"/>
        <v>認定こども園愛育保育園</v>
      </c>
      <c r="Z18" s="1304" t="str">
        <f t="shared" si="5"/>
        <v>あいの里大藤幼稚園</v>
      </c>
      <c r="AA18" s="1304" t="str">
        <f t="shared" si="5"/>
        <v>開成いちい認定こども園</v>
      </c>
      <c r="AB18" s="1304" t="str">
        <f t="shared" si="5"/>
        <v>幼保連携型認定こども園南郷札幌幼稚園</v>
      </c>
      <c r="AC18" s="1304" t="str">
        <f t="shared" si="5"/>
        <v>認定こども園札幌わんぱく館</v>
      </c>
      <c r="AD18" s="1304" t="str">
        <f t="shared" si="5"/>
        <v>認定こども園札幌白ゆり幼稚園</v>
      </c>
      <c r="AE18" s="1304" t="str">
        <f t="shared" si="5"/>
        <v>認定こども園札幌杉の子保育園</v>
      </c>
      <c r="AF18" s="1304" t="str">
        <f t="shared" si="5"/>
        <v>くまの子保育園</v>
      </c>
      <c r="AG18" s="1304" t="str">
        <f t="shared" si="5"/>
        <v>発寒保育園</v>
      </c>
      <c r="AH18" s="1304" t="str">
        <f t="shared" si="5"/>
        <v>前田中央保育園</v>
      </c>
      <c r="AI18" s="1304">
        <f t="shared" si="5"/>
        <v>0</v>
      </c>
      <c r="AJ18" s="1304"/>
      <c r="AK18" s="1304"/>
      <c r="AL18" s="1304"/>
      <c r="AM18" s="1304"/>
      <c r="AN18" s="1304"/>
      <c r="AO18" s="1304"/>
      <c r="AP18" s="1304"/>
      <c r="AQ18" s="1304"/>
      <c r="AR18" s="1304"/>
      <c r="AS18" s="1304"/>
      <c r="AT18" s="1304"/>
      <c r="AU18" s="1304"/>
      <c r="AV18" s="1304"/>
      <c r="AW18" s="1304"/>
      <c r="AX18" s="1304"/>
      <c r="AY18" s="1304"/>
      <c r="AZ18" s="1304"/>
      <c r="BA18" s="1304"/>
      <c r="BB18" s="1304"/>
      <c r="BC18" s="1304"/>
      <c r="BD18" s="1304"/>
      <c r="BE18" s="1304"/>
      <c r="BF18" s="1304"/>
      <c r="BG18" s="1304"/>
      <c r="BH18" s="1304"/>
      <c r="BI18" s="1304"/>
      <c r="BJ18" s="1304"/>
      <c r="BK18" s="1304"/>
      <c r="BL18" s="1304"/>
      <c r="BM18" s="1304"/>
      <c r="BN18" s="1304"/>
      <c r="BO18" s="1304"/>
      <c r="BP18" s="1304"/>
      <c r="BQ18" s="1304"/>
      <c r="BR18" s="1304"/>
      <c r="BS18" s="1304"/>
      <c r="BT18" s="1304"/>
      <c r="BU18" s="1304"/>
      <c r="BV18" s="1304"/>
      <c r="BW18" s="1304"/>
      <c r="BX18" s="1304"/>
      <c r="BY18" s="1304"/>
      <c r="BZ18" s="1304"/>
      <c r="CA18" s="1304"/>
      <c r="CB18" s="1304"/>
      <c r="CC18" s="1304"/>
      <c r="CD18" s="1304"/>
      <c r="CE18" s="1304"/>
      <c r="CF18" s="1304"/>
      <c r="CG18" s="1304"/>
      <c r="CH18" s="1304"/>
      <c r="CI18" s="1304"/>
      <c r="CJ18" s="1304"/>
      <c r="CK18" s="1304"/>
      <c r="CL18" s="1304"/>
      <c r="CM18" s="1304"/>
      <c r="CN18" s="1304"/>
      <c r="CO18" s="1304"/>
      <c r="CP18" s="1304"/>
      <c r="CQ18" s="1304"/>
      <c r="CR18" s="1304"/>
      <c r="CS18" s="1305"/>
      <c r="CT18" s="1305"/>
      <c r="CU18" s="1305"/>
      <c r="CV18" s="1305"/>
      <c r="CW18" s="1305"/>
      <c r="CX18" s="1305"/>
      <c r="CY18" s="1305"/>
      <c r="CZ18" s="1305"/>
      <c r="DA18" s="29"/>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s="23" customFormat="1" ht="11.25" customHeight="1" outlineLevel="1">
      <c r="A19" s="16">
        <v>100010</v>
      </c>
      <c r="B19" s="20" t="s">
        <v>199</v>
      </c>
      <c r="C19" s="20" t="s">
        <v>531</v>
      </c>
      <c r="D19" s="20" t="s">
        <v>1284</v>
      </c>
      <c r="E19" s="20" t="s">
        <v>200</v>
      </c>
      <c r="F19" s="21" t="s">
        <v>1547</v>
      </c>
      <c r="G19" s="21">
        <v>6</v>
      </c>
      <c r="H19" s="21">
        <v>51</v>
      </c>
      <c r="I19" s="21">
        <v>39</v>
      </c>
      <c r="J19" s="42">
        <v>96</v>
      </c>
      <c r="K19" s="21">
        <v>6</v>
      </c>
      <c r="L19" s="21">
        <v>51</v>
      </c>
      <c r="M19" s="21">
        <v>9</v>
      </c>
      <c r="N19" s="21">
        <v>30</v>
      </c>
      <c r="O19" s="21">
        <v>39</v>
      </c>
      <c r="P19" s="21">
        <v>0</v>
      </c>
      <c r="Q19" s="21"/>
      <c r="R19" s="20">
        <f t="shared" si="1"/>
        <v>96</v>
      </c>
      <c r="S19" s="22">
        <f t="shared" si="2"/>
        <v>100010</v>
      </c>
      <c r="T19" s="22">
        <f>COUNTIF($V$4:V19,V19)</f>
        <v>16</v>
      </c>
      <c r="U19" s="22" t="str">
        <f>IF(T19=1,COUNTIF($T$4:T19,1),"")</f>
        <v/>
      </c>
      <c r="V19" s="23" t="str">
        <f t="shared" si="3"/>
        <v>中央区03認定こども園</v>
      </c>
      <c r="W19" s="23" t="str">
        <f t="shared" si="4"/>
        <v>山鼻保育園</v>
      </c>
      <c r="X19" s="24">
        <v>15</v>
      </c>
      <c r="Y19" s="30" t="str">
        <f t="shared" si="5"/>
        <v>旭ヶ丘保育園</v>
      </c>
      <c r="Z19" s="1304" t="str">
        <f t="shared" si="5"/>
        <v>認定こども園メルシー学院</v>
      </c>
      <c r="AA19" s="1304" t="str">
        <f t="shared" si="5"/>
        <v>麻生むつみこども園</v>
      </c>
      <c r="AB19" s="1304" t="str">
        <f t="shared" si="5"/>
        <v>幼保連携型認定こども園北郷札幌幼稚園</v>
      </c>
      <c r="AC19" s="1304" t="str">
        <f t="shared" si="5"/>
        <v>厚別もえぎこども園</v>
      </c>
      <c r="AD19" s="1304" t="str">
        <f t="shared" si="5"/>
        <v>認定こども園札幌愛隣舘</v>
      </c>
      <c r="AE19" s="1304" t="str">
        <f t="shared" si="5"/>
        <v>認定こども園緑ヶ丘保育園</v>
      </c>
      <c r="AF19" s="1304" t="str">
        <f t="shared" si="5"/>
        <v/>
      </c>
      <c r="AG19" s="1304" t="str">
        <f t="shared" si="5"/>
        <v>認定こども園西野保育園</v>
      </c>
      <c r="AH19" s="1304" t="str">
        <f t="shared" si="5"/>
        <v>稲穂中央保育園</v>
      </c>
      <c r="AI19" s="1304">
        <f t="shared" si="5"/>
        <v>0</v>
      </c>
      <c r="AJ19" s="1304"/>
      <c r="AK19" s="1304"/>
      <c r="AL19" s="1304"/>
      <c r="AM19" s="1304"/>
      <c r="AN19" s="1304"/>
      <c r="AO19" s="1304"/>
      <c r="AP19" s="1304"/>
      <c r="AQ19" s="1304"/>
      <c r="AR19" s="1304"/>
      <c r="AS19" s="1304"/>
      <c r="AT19" s="1304"/>
      <c r="AU19" s="1304"/>
      <c r="AV19" s="1304"/>
      <c r="AW19" s="1304"/>
      <c r="AX19" s="1304"/>
      <c r="AY19" s="1304"/>
      <c r="AZ19" s="1304"/>
      <c r="BA19" s="1304"/>
      <c r="BB19" s="1304"/>
      <c r="BC19" s="1304"/>
      <c r="BD19" s="1304"/>
      <c r="BE19" s="1304"/>
      <c r="BF19" s="1304"/>
      <c r="BG19" s="1304"/>
      <c r="BH19" s="1304"/>
      <c r="BI19" s="1304"/>
      <c r="BJ19" s="1304"/>
      <c r="BK19" s="1304"/>
      <c r="BL19" s="1304"/>
      <c r="BM19" s="1304"/>
      <c r="BN19" s="1304"/>
      <c r="BO19" s="1304"/>
      <c r="BP19" s="1304"/>
      <c r="BQ19" s="1304"/>
      <c r="BR19" s="1304"/>
      <c r="BS19" s="1304"/>
      <c r="BT19" s="1304"/>
      <c r="BU19" s="1304"/>
      <c r="BV19" s="1304"/>
      <c r="BW19" s="1304"/>
      <c r="BX19" s="1304"/>
      <c r="BY19" s="1304"/>
      <c r="BZ19" s="1304"/>
      <c r="CA19" s="1304"/>
      <c r="CB19" s="1304"/>
      <c r="CC19" s="1304"/>
      <c r="CD19" s="1304"/>
      <c r="CE19" s="1304"/>
      <c r="CF19" s="1304"/>
      <c r="CG19" s="1304"/>
      <c r="CH19" s="1304"/>
      <c r="CI19" s="1304"/>
      <c r="CJ19" s="1304"/>
      <c r="CK19" s="1304"/>
      <c r="CL19" s="1304"/>
      <c r="CM19" s="1304"/>
      <c r="CN19" s="1304"/>
      <c r="CO19" s="1304"/>
      <c r="CP19" s="1304"/>
      <c r="CQ19" s="1304"/>
      <c r="CR19" s="1304"/>
      <c r="CS19" s="1305"/>
      <c r="CT19" s="1305"/>
      <c r="CU19" s="1305"/>
      <c r="CV19" s="1305"/>
      <c r="CW19" s="1305"/>
      <c r="CX19" s="1305"/>
      <c r="CY19" s="1305"/>
      <c r="CZ19" s="1305"/>
      <c r="DA19" s="29"/>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s="23" customFormat="1" ht="11.25" customHeight="1" outlineLevel="1">
      <c r="A20" s="16">
        <v>100024</v>
      </c>
      <c r="B20" s="20" t="s">
        <v>199</v>
      </c>
      <c r="C20" s="20" t="s">
        <v>531</v>
      </c>
      <c r="D20" s="20" t="s">
        <v>1067</v>
      </c>
      <c r="E20" s="20" t="s">
        <v>200</v>
      </c>
      <c r="F20" s="21" t="s">
        <v>1417</v>
      </c>
      <c r="G20" s="21">
        <v>15</v>
      </c>
      <c r="H20" s="21">
        <v>54</v>
      </c>
      <c r="I20" s="21">
        <v>36</v>
      </c>
      <c r="J20" s="42">
        <v>105</v>
      </c>
      <c r="K20" s="21">
        <v>15</v>
      </c>
      <c r="L20" s="21">
        <v>54</v>
      </c>
      <c r="M20" s="21">
        <v>6</v>
      </c>
      <c r="N20" s="21">
        <v>30</v>
      </c>
      <c r="O20" s="21">
        <v>36</v>
      </c>
      <c r="P20" s="21">
        <v>0</v>
      </c>
      <c r="Q20" s="21"/>
      <c r="R20" s="20">
        <f t="shared" si="1"/>
        <v>105</v>
      </c>
      <c r="S20" s="22">
        <f t="shared" si="2"/>
        <v>100024</v>
      </c>
      <c r="T20" s="22">
        <f>COUNTIF($V$4:V20,V20)</f>
        <v>17</v>
      </c>
      <c r="U20" s="22" t="str">
        <f>IF(T20=1,COUNTIF($T$4:T20,1),"")</f>
        <v/>
      </c>
      <c r="V20" s="23" t="str">
        <f t="shared" si="3"/>
        <v>中央区03認定こども園</v>
      </c>
      <c r="W20" s="23" t="str">
        <f t="shared" si="4"/>
        <v>たかさごスクール大通公園</v>
      </c>
      <c r="X20" s="24">
        <v>16</v>
      </c>
      <c r="Y20" s="30" t="str">
        <f t="shared" si="5"/>
        <v>山鼻保育園</v>
      </c>
      <c r="Z20" s="1304" t="str">
        <f t="shared" si="5"/>
        <v>認定こども園太平あずさ保育園</v>
      </c>
      <c r="AA20" s="1304" t="str">
        <f t="shared" si="5"/>
        <v>北栄保育園</v>
      </c>
      <c r="AB20" s="1304" t="str">
        <f t="shared" si="5"/>
        <v>認定こども園菊水元町第二保育園</v>
      </c>
      <c r="AC20" s="1304" t="str">
        <f t="shared" si="5"/>
        <v>ひばりが丘あすなろ認定こども園</v>
      </c>
      <c r="AD20" s="1304" t="str">
        <f t="shared" si="5"/>
        <v>認定こども園みのり保育園</v>
      </c>
      <c r="AE20" s="1304" t="str">
        <f t="shared" si="5"/>
        <v/>
      </c>
      <c r="AF20" s="1304" t="str">
        <f t="shared" si="5"/>
        <v/>
      </c>
      <c r="AG20" s="1304" t="str">
        <f t="shared" si="5"/>
        <v>二十四軒保育園</v>
      </c>
      <c r="AH20" s="1304" t="str">
        <f t="shared" si="5"/>
        <v>認定こども園スター保育園前田園</v>
      </c>
      <c r="AI20" s="1304">
        <f t="shared" si="5"/>
        <v>0</v>
      </c>
      <c r="AJ20" s="1304"/>
      <c r="AK20" s="1304"/>
      <c r="AL20" s="1304"/>
      <c r="AM20" s="1304"/>
      <c r="AN20" s="1304"/>
      <c r="AO20" s="1304"/>
      <c r="AP20" s="1304"/>
      <c r="AQ20" s="1304"/>
      <c r="AR20" s="1304"/>
      <c r="AS20" s="1304"/>
      <c r="AT20" s="1304"/>
      <c r="AU20" s="1304"/>
      <c r="AV20" s="1304"/>
      <c r="AW20" s="1304"/>
      <c r="AX20" s="1304"/>
      <c r="AY20" s="1304"/>
      <c r="AZ20" s="1304"/>
      <c r="BA20" s="1304"/>
      <c r="BB20" s="1304"/>
      <c r="BC20" s="1304"/>
      <c r="BD20" s="1304"/>
      <c r="BE20" s="1304"/>
      <c r="BF20" s="1304"/>
      <c r="BG20" s="1304"/>
      <c r="BH20" s="1304"/>
      <c r="BI20" s="1304"/>
      <c r="BJ20" s="1304"/>
      <c r="BK20" s="1304"/>
      <c r="BL20" s="1304"/>
      <c r="BM20" s="1304"/>
      <c r="BN20" s="1304"/>
      <c r="BO20" s="1304"/>
      <c r="BP20" s="1304"/>
      <c r="BQ20" s="1304"/>
      <c r="BR20" s="1304"/>
      <c r="BS20" s="1304"/>
      <c r="BT20" s="1304"/>
      <c r="BU20" s="1304"/>
      <c r="BV20" s="1304"/>
      <c r="BW20" s="1304"/>
      <c r="BX20" s="1304"/>
      <c r="BY20" s="1304"/>
      <c r="BZ20" s="1304"/>
      <c r="CA20" s="1304"/>
      <c r="CB20" s="1304"/>
      <c r="CC20" s="1304"/>
      <c r="CD20" s="1304"/>
      <c r="CE20" s="1304"/>
      <c r="CF20" s="1304"/>
      <c r="CG20" s="1304"/>
      <c r="CH20" s="1304"/>
      <c r="CI20" s="1304"/>
      <c r="CJ20" s="1304"/>
      <c r="CK20" s="1304"/>
      <c r="CL20" s="1304"/>
      <c r="CM20" s="1304"/>
      <c r="CN20" s="1304"/>
      <c r="CO20" s="1304"/>
      <c r="CP20" s="1304"/>
      <c r="CQ20" s="1304"/>
      <c r="CR20" s="1304"/>
      <c r="CS20" s="1305"/>
      <c r="CT20" s="1305"/>
      <c r="CU20" s="1305"/>
      <c r="CV20" s="1305"/>
      <c r="CW20" s="1305"/>
      <c r="CX20" s="1305"/>
      <c r="CY20" s="1305"/>
      <c r="CZ20" s="1305"/>
      <c r="DA20" s="29"/>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s="23" customFormat="1" ht="11.25" customHeight="1" outlineLevel="1">
      <c r="A21" s="16">
        <v>100025</v>
      </c>
      <c r="B21" s="20" t="s">
        <v>199</v>
      </c>
      <c r="C21" s="20" t="s">
        <v>531</v>
      </c>
      <c r="D21" s="20" t="s">
        <v>1067</v>
      </c>
      <c r="E21" s="20" t="s">
        <v>200</v>
      </c>
      <c r="F21" s="21" t="s">
        <v>1548</v>
      </c>
      <c r="G21" s="21">
        <v>9</v>
      </c>
      <c r="H21" s="21">
        <v>50</v>
      </c>
      <c r="I21" s="21">
        <v>40</v>
      </c>
      <c r="J21" s="42">
        <v>99</v>
      </c>
      <c r="K21" s="21">
        <v>9</v>
      </c>
      <c r="L21" s="21">
        <v>50</v>
      </c>
      <c r="M21" s="21">
        <v>9</v>
      </c>
      <c r="N21" s="21">
        <v>31</v>
      </c>
      <c r="O21" s="21">
        <v>40</v>
      </c>
      <c r="P21" s="21">
        <v>0</v>
      </c>
      <c r="Q21" s="21"/>
      <c r="R21" s="20">
        <f t="shared" si="1"/>
        <v>99</v>
      </c>
      <c r="S21" s="22">
        <f t="shared" si="2"/>
        <v>100025</v>
      </c>
      <c r="T21" s="22">
        <f>COUNTIF($V$4:V21,V21)</f>
        <v>18</v>
      </c>
      <c r="U21" s="22" t="str">
        <f>IF(T21=1,COUNTIF($T$4:T21,1),"")</f>
        <v/>
      </c>
      <c r="V21" s="23" t="str">
        <f t="shared" si="3"/>
        <v>中央区03認定こども園</v>
      </c>
      <c r="W21" s="23" t="str">
        <f t="shared" si="4"/>
        <v>認定こども園啓明ともいき保育園</v>
      </c>
      <c r="X21" s="24">
        <v>17</v>
      </c>
      <c r="Y21" s="30" t="str">
        <f t="shared" ref="Y21:AI36" si="6">IFERROR(INDEX($T$4:$W$601,MATCH($X21&amp;Y$3,INDEX($T$4:$T$601&amp;$V$4:$V$601,),0),MATCH("施設名",$T$3:$W$3,0)),"")</f>
        <v>たかさごスクール大通公園</v>
      </c>
      <c r="Z21" s="1304" t="str">
        <f t="shared" si="6"/>
        <v>幼保連携型認定こども園ＣｉｎｑＰｅｒｌｅｓ幼稚園</v>
      </c>
      <c r="AA21" s="1304" t="str">
        <f t="shared" si="6"/>
        <v>認定こども園元町杉の子保育園</v>
      </c>
      <c r="AB21" s="1304" t="str">
        <f t="shared" si="6"/>
        <v>認定こども園札幌愛隣舘第二</v>
      </c>
      <c r="AC21" s="1304" t="str">
        <f t="shared" si="6"/>
        <v>認定こども園きっずぱーく厚別保育園</v>
      </c>
      <c r="AD21" s="1304" t="str">
        <f t="shared" si="6"/>
        <v>認定こども園中の島保育園</v>
      </c>
      <c r="AE21" s="1304" t="str">
        <f t="shared" si="6"/>
        <v/>
      </c>
      <c r="AF21" s="1304" t="str">
        <f t="shared" si="6"/>
        <v/>
      </c>
      <c r="AG21" s="1304" t="str">
        <f t="shared" si="6"/>
        <v>認定こども園西野中央保育園</v>
      </c>
      <c r="AH21" s="1304" t="str">
        <f t="shared" si="6"/>
        <v>認定こども園新発寒みつばち保育園</v>
      </c>
      <c r="AI21" s="1304">
        <f t="shared" si="6"/>
        <v>0</v>
      </c>
      <c r="AJ21" s="1304"/>
      <c r="AK21" s="1304"/>
      <c r="AL21" s="1304"/>
      <c r="AM21" s="1304"/>
      <c r="AN21" s="1304"/>
      <c r="AO21" s="1304"/>
      <c r="AP21" s="1304"/>
      <c r="AQ21" s="1304"/>
      <c r="AR21" s="1304"/>
      <c r="AS21" s="1304"/>
      <c r="AT21" s="1304"/>
      <c r="AU21" s="1304"/>
      <c r="AV21" s="1304"/>
      <c r="AW21" s="1304"/>
      <c r="AX21" s="1304"/>
      <c r="AY21" s="1304"/>
      <c r="AZ21" s="1304"/>
      <c r="BA21" s="1304"/>
      <c r="BB21" s="1304"/>
      <c r="BC21" s="1304"/>
      <c r="BD21" s="1304"/>
      <c r="BE21" s="1304"/>
      <c r="BF21" s="1304"/>
      <c r="BG21" s="1304"/>
      <c r="BH21" s="1304"/>
      <c r="BI21" s="1304"/>
      <c r="BJ21" s="1304"/>
      <c r="BK21" s="1304"/>
      <c r="BL21" s="1304"/>
      <c r="BM21" s="1304"/>
      <c r="BN21" s="1304"/>
      <c r="BO21" s="1304"/>
      <c r="BP21" s="1304"/>
      <c r="BQ21" s="1304"/>
      <c r="BR21" s="1304"/>
      <c r="BS21" s="1304"/>
      <c r="BT21" s="1304"/>
      <c r="BU21" s="1304"/>
      <c r="BV21" s="1304"/>
      <c r="BW21" s="1304"/>
      <c r="BX21" s="1304"/>
      <c r="BY21" s="1304"/>
      <c r="BZ21" s="1304"/>
      <c r="CA21" s="1304"/>
      <c r="CB21" s="1304"/>
      <c r="CC21" s="1304"/>
      <c r="CD21" s="1304"/>
      <c r="CE21" s="1304"/>
      <c r="CF21" s="1304"/>
      <c r="CG21" s="1304"/>
      <c r="CH21" s="1304"/>
      <c r="CI21" s="1304"/>
      <c r="CJ21" s="1304"/>
      <c r="CK21" s="1304"/>
      <c r="CL21" s="1304"/>
      <c r="CM21" s="1304"/>
      <c r="CN21" s="1304"/>
      <c r="CO21" s="1304"/>
      <c r="CP21" s="1304"/>
      <c r="CQ21" s="1304"/>
      <c r="CR21" s="1304"/>
      <c r="CS21" s="1305"/>
      <c r="CT21" s="1305"/>
      <c r="CU21" s="1305"/>
      <c r="CV21" s="1305"/>
      <c r="CW21" s="1305"/>
      <c r="CX21" s="1305"/>
      <c r="CY21" s="1305"/>
      <c r="CZ21" s="1305"/>
      <c r="DA21" s="29"/>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s="23" customFormat="1" ht="11.25" customHeight="1" outlineLevel="1">
      <c r="A22" s="16">
        <v>100095</v>
      </c>
      <c r="B22" s="20" t="s">
        <v>199</v>
      </c>
      <c r="C22" s="20" t="s">
        <v>531</v>
      </c>
      <c r="D22" s="20" t="s">
        <v>1067</v>
      </c>
      <c r="E22" s="20" t="s">
        <v>200</v>
      </c>
      <c r="F22" s="21" t="s">
        <v>1418</v>
      </c>
      <c r="G22" s="21">
        <v>10</v>
      </c>
      <c r="H22" s="21">
        <v>33</v>
      </c>
      <c r="I22" s="21">
        <v>27</v>
      </c>
      <c r="J22" s="42">
        <v>70</v>
      </c>
      <c r="K22" s="21">
        <v>10</v>
      </c>
      <c r="L22" s="21">
        <v>33</v>
      </c>
      <c r="M22" s="21">
        <v>6</v>
      </c>
      <c r="N22" s="21">
        <v>21</v>
      </c>
      <c r="O22" s="21">
        <v>27</v>
      </c>
      <c r="P22" s="21">
        <v>0</v>
      </c>
      <c r="Q22" s="21"/>
      <c r="R22" s="20">
        <f t="shared" si="1"/>
        <v>70</v>
      </c>
      <c r="S22" s="22">
        <f t="shared" si="2"/>
        <v>100095</v>
      </c>
      <c r="T22" s="22">
        <f>COUNTIF($V$4:V22,V22)</f>
        <v>19</v>
      </c>
      <c r="U22" s="22" t="str">
        <f>IF(T22=1,COUNTIF($T$4:T22,1),"")</f>
        <v/>
      </c>
      <c r="V22" s="23" t="str">
        <f t="shared" si="3"/>
        <v>中央区03認定こども園</v>
      </c>
      <c r="W22" s="23" t="str">
        <f t="shared" si="4"/>
        <v>認定こども園北一条すずらん保育園</v>
      </c>
      <c r="X22" s="24">
        <v>18</v>
      </c>
      <c r="Y22" s="30" t="str">
        <f t="shared" si="6"/>
        <v>認定こども園啓明ともいき保育園</v>
      </c>
      <c r="Z22" s="1304" t="str">
        <f t="shared" si="6"/>
        <v>認定こども園こころ篠路保育園</v>
      </c>
      <c r="AA22" s="1304" t="str">
        <f t="shared" si="6"/>
        <v>認定こども園東苗穂保育園</v>
      </c>
      <c r="AB22" s="1304" t="str">
        <f t="shared" si="6"/>
        <v>柏葉保育園</v>
      </c>
      <c r="AC22" s="1304" t="str">
        <f t="shared" si="6"/>
        <v/>
      </c>
      <c r="AD22" s="1304" t="str">
        <f t="shared" si="6"/>
        <v>認定こども園札幌愛隣舘東山</v>
      </c>
      <c r="AE22" s="1304" t="str">
        <f t="shared" si="6"/>
        <v/>
      </c>
      <c r="AF22" s="1304" t="str">
        <f t="shared" si="6"/>
        <v/>
      </c>
      <c r="AG22" s="1304" t="str">
        <f t="shared" si="6"/>
        <v>西野あおい保育園</v>
      </c>
      <c r="AH22" s="1304" t="str">
        <f t="shared" si="6"/>
        <v>認定こども園手稲みつばち保育園</v>
      </c>
      <c r="AI22" s="1304">
        <f t="shared" si="6"/>
        <v>0</v>
      </c>
      <c r="AJ22" s="1304"/>
      <c r="AK22" s="1304"/>
      <c r="AL22" s="1304"/>
      <c r="AM22" s="1304"/>
      <c r="AN22" s="1304"/>
      <c r="AO22" s="1304"/>
      <c r="AP22" s="1304"/>
      <c r="AQ22" s="1304"/>
      <c r="AR22" s="1304"/>
      <c r="AS22" s="1304"/>
      <c r="AT22" s="1304"/>
      <c r="AU22" s="1304"/>
      <c r="AV22" s="1304"/>
      <c r="AW22" s="1304"/>
      <c r="AX22" s="1304"/>
      <c r="AY22" s="1304"/>
      <c r="AZ22" s="1304"/>
      <c r="BA22" s="1304"/>
      <c r="BB22" s="1304"/>
      <c r="BC22" s="1304"/>
      <c r="BD22" s="1304"/>
      <c r="BE22" s="1304"/>
      <c r="BF22" s="1304"/>
      <c r="BG22" s="1304"/>
      <c r="BH22" s="1304"/>
      <c r="BI22" s="1304"/>
      <c r="BJ22" s="1304"/>
      <c r="BK22" s="1304"/>
      <c r="BL22" s="1304"/>
      <c r="BM22" s="1304"/>
      <c r="BN22" s="1304"/>
      <c r="BO22" s="1304"/>
      <c r="BP22" s="1304"/>
      <c r="BQ22" s="1304"/>
      <c r="BR22" s="1304"/>
      <c r="BS22" s="1304"/>
      <c r="BT22" s="1304"/>
      <c r="BU22" s="1304"/>
      <c r="BV22" s="1304"/>
      <c r="BW22" s="1304"/>
      <c r="BX22" s="1304"/>
      <c r="BY22" s="1304"/>
      <c r="BZ22" s="1304"/>
      <c r="CA22" s="1304"/>
      <c r="CB22" s="1304"/>
      <c r="CC22" s="1304"/>
      <c r="CD22" s="1304"/>
      <c r="CE22" s="1304"/>
      <c r="CF22" s="1304"/>
      <c r="CG22" s="1304"/>
      <c r="CH22" s="1304"/>
      <c r="CI22" s="1304"/>
      <c r="CJ22" s="1304"/>
      <c r="CK22" s="1304"/>
      <c r="CL22" s="1304"/>
      <c r="CM22" s="1304"/>
      <c r="CN22" s="1304"/>
      <c r="CO22" s="1304"/>
      <c r="CP22" s="1304"/>
      <c r="CQ22" s="1304"/>
      <c r="CR22" s="1304"/>
      <c r="CS22" s="1305"/>
      <c r="CT22" s="1305"/>
      <c r="CU22" s="1305"/>
      <c r="CV22" s="1305"/>
      <c r="CW22" s="1305"/>
      <c r="CX22" s="1305"/>
      <c r="CY22" s="1305"/>
      <c r="CZ22" s="1305"/>
      <c r="DA22" s="29"/>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s="23" customFormat="1" ht="11.25" customHeight="1" outlineLevel="1">
      <c r="A23" s="16">
        <v>100106</v>
      </c>
      <c r="B23" s="20" t="s">
        <v>199</v>
      </c>
      <c r="C23" s="20" t="s">
        <v>531</v>
      </c>
      <c r="D23" s="20" t="s">
        <v>1284</v>
      </c>
      <c r="E23" s="20" t="s">
        <v>200</v>
      </c>
      <c r="F23" s="21" t="s">
        <v>1549</v>
      </c>
      <c r="G23" s="21">
        <v>6</v>
      </c>
      <c r="H23" s="21">
        <v>35</v>
      </c>
      <c r="I23" s="21">
        <v>25</v>
      </c>
      <c r="J23" s="42">
        <v>66</v>
      </c>
      <c r="K23" s="21">
        <v>6</v>
      </c>
      <c r="L23" s="21">
        <v>35</v>
      </c>
      <c r="M23" s="21">
        <v>3</v>
      </c>
      <c r="N23" s="21">
        <v>22</v>
      </c>
      <c r="O23" s="21">
        <v>25</v>
      </c>
      <c r="P23" s="21">
        <v>0</v>
      </c>
      <c r="Q23" s="21"/>
      <c r="R23" s="20">
        <f t="shared" si="1"/>
        <v>66</v>
      </c>
      <c r="S23" s="22">
        <f t="shared" si="2"/>
        <v>100106</v>
      </c>
      <c r="T23" s="22">
        <f>COUNTIF($V$4:V23,V23)</f>
        <v>20</v>
      </c>
      <c r="U23" s="22" t="str">
        <f>IF(T23=1,COUNTIF($T$4:T23,1),"")</f>
        <v/>
      </c>
      <c r="V23" s="23" t="str">
        <f t="shared" si="3"/>
        <v>中央区03認定こども園</v>
      </c>
      <c r="W23" s="23" t="str">
        <f t="shared" si="4"/>
        <v>宮の森ライラックこども園</v>
      </c>
      <c r="X23" s="24">
        <v>19</v>
      </c>
      <c r="Y23" s="30" t="str">
        <f t="shared" si="6"/>
        <v>認定こども園北一条すずらん保育園</v>
      </c>
      <c r="Z23" s="1304" t="str">
        <f t="shared" si="6"/>
        <v>認定こども園百合が原幼稚園</v>
      </c>
      <c r="AA23" s="1304" t="str">
        <f t="shared" si="6"/>
        <v>明園保育園</v>
      </c>
      <c r="AB23" s="1304" t="str">
        <f t="shared" si="6"/>
        <v>保育所型認定こども園白石中央保育園</v>
      </c>
      <c r="AC23" s="1304" t="str">
        <f t="shared" si="6"/>
        <v/>
      </c>
      <c r="AD23" s="1304" t="str">
        <f t="shared" si="6"/>
        <v>東月寒認定こども園</v>
      </c>
      <c r="AE23" s="1304" t="str">
        <f t="shared" si="6"/>
        <v/>
      </c>
      <c r="AF23" s="1304" t="str">
        <f t="shared" si="6"/>
        <v/>
      </c>
      <c r="AG23" s="1304" t="str">
        <f t="shared" si="6"/>
        <v>宮の沢桃の花こども園</v>
      </c>
      <c r="AH23" s="1304" t="str">
        <f t="shared" si="6"/>
        <v>認定こども園手稲札幌アカデミー</v>
      </c>
      <c r="AI23" s="1304">
        <f t="shared" si="6"/>
        <v>0</v>
      </c>
      <c r="AJ23" s="1304"/>
      <c r="AK23" s="1304"/>
      <c r="AL23" s="1304"/>
      <c r="AM23" s="1304"/>
      <c r="AN23" s="1304"/>
      <c r="AO23" s="1304"/>
      <c r="AP23" s="1304"/>
      <c r="AQ23" s="1304"/>
      <c r="AR23" s="1304"/>
      <c r="AS23" s="1304"/>
      <c r="AT23" s="1304"/>
      <c r="AU23" s="1304"/>
      <c r="AV23" s="1304"/>
      <c r="AW23" s="1304"/>
      <c r="AX23" s="1304"/>
      <c r="AY23" s="1304"/>
      <c r="AZ23" s="1304"/>
      <c r="BA23" s="1304"/>
      <c r="BB23" s="1304"/>
      <c r="BC23" s="1304"/>
      <c r="BD23" s="1304"/>
      <c r="BE23" s="1304"/>
      <c r="BF23" s="1304"/>
      <c r="BG23" s="1304"/>
      <c r="BH23" s="1304"/>
      <c r="BI23" s="1304"/>
      <c r="BJ23" s="1304"/>
      <c r="BK23" s="1304"/>
      <c r="BL23" s="1304"/>
      <c r="BM23" s="1304"/>
      <c r="BN23" s="1304"/>
      <c r="BO23" s="1304"/>
      <c r="BP23" s="1304"/>
      <c r="BQ23" s="1304"/>
      <c r="BR23" s="1304"/>
      <c r="BS23" s="1304"/>
      <c r="BT23" s="1304"/>
      <c r="BU23" s="1304"/>
      <c r="BV23" s="1304"/>
      <c r="BW23" s="1304"/>
      <c r="BX23" s="1304"/>
      <c r="BY23" s="1304"/>
      <c r="BZ23" s="1304"/>
      <c r="CA23" s="1304"/>
      <c r="CB23" s="1304"/>
      <c r="CC23" s="1304"/>
      <c r="CD23" s="1304"/>
      <c r="CE23" s="1304"/>
      <c r="CF23" s="1304"/>
      <c r="CG23" s="1304"/>
      <c r="CH23" s="1304"/>
      <c r="CI23" s="1304"/>
      <c r="CJ23" s="1304"/>
      <c r="CK23" s="1304"/>
      <c r="CL23" s="1304"/>
      <c r="CM23" s="1304"/>
      <c r="CN23" s="1304"/>
      <c r="CO23" s="1304"/>
      <c r="CP23" s="1304"/>
      <c r="CQ23" s="1304"/>
      <c r="CR23" s="1304"/>
      <c r="CS23" s="1305"/>
      <c r="CT23" s="1305"/>
      <c r="CU23" s="1305"/>
      <c r="CV23" s="1305"/>
      <c r="CW23" s="1305"/>
      <c r="CX23" s="1305"/>
      <c r="CY23" s="1305"/>
      <c r="CZ23" s="1305"/>
      <c r="DA23" s="29"/>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s="23" customFormat="1" ht="11.25" customHeight="1" outlineLevel="1">
      <c r="A24" s="16">
        <v>100053</v>
      </c>
      <c r="B24" s="20" t="s">
        <v>199</v>
      </c>
      <c r="C24" s="20" t="s">
        <v>531</v>
      </c>
      <c r="D24" s="20" t="s">
        <v>1071</v>
      </c>
      <c r="E24" s="20" t="s">
        <v>200</v>
      </c>
      <c r="F24" s="21" t="s">
        <v>202</v>
      </c>
      <c r="G24" s="21">
        <v>38</v>
      </c>
      <c r="H24" s="21">
        <v>42</v>
      </c>
      <c r="I24" s="21">
        <v>33</v>
      </c>
      <c r="J24" s="42">
        <v>113</v>
      </c>
      <c r="K24" s="21">
        <v>9</v>
      </c>
      <c r="L24" s="21">
        <v>42</v>
      </c>
      <c r="M24" s="21">
        <v>9</v>
      </c>
      <c r="N24" s="21">
        <v>24</v>
      </c>
      <c r="O24" s="21">
        <v>33</v>
      </c>
      <c r="P24" s="21">
        <v>0</v>
      </c>
      <c r="Q24" s="21"/>
      <c r="R24" s="20">
        <f t="shared" si="1"/>
        <v>84</v>
      </c>
      <c r="S24" s="22">
        <f t="shared" si="2"/>
        <v>100053</v>
      </c>
      <c r="T24" s="22">
        <f>COUNTIF($V$4:V24,V24)</f>
        <v>21</v>
      </c>
      <c r="U24" s="22" t="str">
        <f>IF(T24=1,COUNTIF($T$4:T24,1),"")</f>
        <v/>
      </c>
      <c r="V24" s="23" t="str">
        <f t="shared" si="3"/>
        <v>中央区03認定こども園</v>
      </c>
      <c r="W24" s="23" t="str">
        <f t="shared" si="4"/>
        <v>認定こども園マミーポッケ</v>
      </c>
      <c r="X24" s="24">
        <v>20</v>
      </c>
      <c r="Y24" s="30" t="str">
        <f t="shared" si="6"/>
        <v>宮の森ライラックこども園</v>
      </c>
      <c r="Z24" s="1304" t="str">
        <f t="shared" si="6"/>
        <v>認定こども園札幌北幼稚園</v>
      </c>
      <c r="AA24" s="1304" t="str">
        <f t="shared" si="6"/>
        <v>日の丸保育園</v>
      </c>
      <c r="AB24" s="1304" t="str">
        <f t="shared" si="6"/>
        <v>北の星東札幌保育園</v>
      </c>
      <c r="AC24" s="1304" t="str">
        <f t="shared" si="6"/>
        <v/>
      </c>
      <c r="AD24" s="1304" t="str">
        <f t="shared" si="6"/>
        <v>認定こども園札幌愛隣舘りんご</v>
      </c>
      <c r="AE24" s="1304" t="str">
        <f t="shared" si="6"/>
        <v/>
      </c>
      <c r="AF24" s="1304" t="str">
        <f t="shared" si="6"/>
        <v/>
      </c>
      <c r="AG24" s="1304" t="str">
        <f t="shared" si="6"/>
        <v>認定こども園発寒わんぱく保育園</v>
      </c>
      <c r="AH24" s="1304" t="str">
        <f t="shared" si="6"/>
        <v/>
      </c>
      <c r="AI24" s="1304">
        <f t="shared" si="6"/>
        <v>0</v>
      </c>
      <c r="AJ24" s="1304"/>
      <c r="AK24" s="1304"/>
      <c r="AL24" s="1304"/>
      <c r="AM24" s="1304"/>
      <c r="AN24" s="1304"/>
      <c r="AO24" s="1304"/>
      <c r="AP24" s="1304"/>
      <c r="AQ24" s="1304"/>
      <c r="AR24" s="1304"/>
      <c r="AS24" s="1304"/>
      <c r="AT24" s="1304"/>
      <c r="AU24" s="1304"/>
      <c r="AV24" s="1304"/>
      <c r="AW24" s="1304"/>
      <c r="AX24" s="1304"/>
      <c r="AY24" s="1304"/>
      <c r="AZ24" s="1304"/>
      <c r="BA24" s="1304"/>
      <c r="BB24" s="1304"/>
      <c r="BC24" s="1304"/>
      <c r="BD24" s="1304"/>
      <c r="BE24" s="1304"/>
      <c r="BF24" s="1304"/>
      <c r="BG24" s="1304"/>
      <c r="BH24" s="1304"/>
      <c r="BI24" s="1304"/>
      <c r="BJ24" s="1304"/>
      <c r="BK24" s="1304"/>
      <c r="BL24" s="1304"/>
      <c r="BM24" s="1304"/>
      <c r="BN24" s="1304"/>
      <c r="BO24" s="1304"/>
      <c r="BP24" s="1304"/>
      <c r="BQ24" s="1304"/>
      <c r="BR24" s="1304"/>
      <c r="BS24" s="1304"/>
      <c r="BT24" s="1304"/>
      <c r="BU24" s="1304"/>
      <c r="BV24" s="1304"/>
      <c r="BW24" s="1304"/>
      <c r="BX24" s="1304"/>
      <c r="BY24" s="1304"/>
      <c r="BZ24" s="1304"/>
      <c r="CA24" s="1304"/>
      <c r="CB24" s="1304"/>
      <c r="CC24" s="1304"/>
      <c r="CD24" s="1304"/>
      <c r="CE24" s="1304"/>
      <c r="CF24" s="1304"/>
      <c r="CG24" s="1304"/>
      <c r="CH24" s="1304"/>
      <c r="CI24" s="1304"/>
      <c r="CJ24" s="1304"/>
      <c r="CK24" s="1304"/>
      <c r="CL24" s="1304"/>
      <c r="CM24" s="1304"/>
      <c r="CN24" s="1304"/>
      <c r="CO24" s="1304"/>
      <c r="CP24" s="1304"/>
      <c r="CQ24" s="1304"/>
      <c r="CR24" s="1304"/>
      <c r="CS24" s="1305"/>
      <c r="CT24" s="1305"/>
      <c r="CU24" s="1305"/>
      <c r="CV24" s="1305"/>
      <c r="CW24" s="1305"/>
      <c r="CX24" s="1305"/>
      <c r="CY24" s="1305"/>
      <c r="CZ24" s="1305"/>
      <c r="DA24" s="29"/>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s="23" customFormat="1" ht="11.25" customHeight="1" outlineLevel="1">
      <c r="A25" s="16">
        <v>200011</v>
      </c>
      <c r="B25" s="20" t="s">
        <v>199</v>
      </c>
      <c r="C25" s="20" t="s">
        <v>531</v>
      </c>
      <c r="D25" s="20" t="s">
        <v>1078</v>
      </c>
      <c r="E25" s="20" t="s">
        <v>203</v>
      </c>
      <c r="F25" s="21" t="s">
        <v>1288</v>
      </c>
      <c r="G25" s="21">
        <v>12</v>
      </c>
      <c r="H25" s="21">
        <v>45</v>
      </c>
      <c r="I25" s="21">
        <v>45</v>
      </c>
      <c r="J25" s="42">
        <v>102</v>
      </c>
      <c r="K25" s="21">
        <v>12</v>
      </c>
      <c r="L25" s="21">
        <v>45</v>
      </c>
      <c r="M25" s="21">
        <v>15</v>
      </c>
      <c r="N25" s="21">
        <v>30</v>
      </c>
      <c r="O25" s="21">
        <v>45</v>
      </c>
      <c r="P25" s="21">
        <v>0</v>
      </c>
      <c r="Q25" s="21"/>
      <c r="R25" s="20">
        <f t="shared" si="1"/>
        <v>102</v>
      </c>
      <c r="S25" s="22">
        <f t="shared" si="2"/>
        <v>200011</v>
      </c>
      <c r="T25" s="22">
        <f>COUNTIF($V$4:V25,V25)</f>
        <v>1</v>
      </c>
      <c r="U25" s="22">
        <f>IF(T25=1,COUNTIF($T$4:T25,1),"")</f>
        <v>2</v>
      </c>
      <c r="V25" s="23" t="str">
        <f t="shared" si="3"/>
        <v>北区03認定こども園</v>
      </c>
      <c r="W25" s="23" t="str">
        <f t="shared" si="4"/>
        <v>認定こども園屯田すずらん</v>
      </c>
      <c r="X25" s="24">
        <v>21</v>
      </c>
      <c r="Y25" s="30" t="str">
        <f t="shared" si="6"/>
        <v>認定こども園マミーポッケ</v>
      </c>
      <c r="Z25" s="1304" t="str">
        <f t="shared" si="6"/>
        <v>そうせい幼稚園</v>
      </c>
      <c r="AA25" s="1304" t="str">
        <f t="shared" si="6"/>
        <v>認定こども園はらっぱ保育園</v>
      </c>
      <c r="AB25" s="1304" t="str">
        <f t="shared" si="6"/>
        <v>北白石こども園</v>
      </c>
      <c r="AC25" s="1304" t="str">
        <f t="shared" si="6"/>
        <v/>
      </c>
      <c r="AD25" s="1304" t="str">
        <f t="shared" si="6"/>
        <v>認定こども園羊丘藤保育園</v>
      </c>
      <c r="AE25" s="1304" t="str">
        <f t="shared" si="6"/>
        <v/>
      </c>
      <c r="AF25" s="1304" t="str">
        <f t="shared" si="6"/>
        <v/>
      </c>
      <c r="AG25" s="1304" t="str">
        <f t="shared" si="6"/>
        <v>たかさごスクール宮の沢</v>
      </c>
      <c r="AH25" s="1304" t="str">
        <f t="shared" si="6"/>
        <v/>
      </c>
      <c r="AI25" s="1304">
        <f t="shared" si="6"/>
        <v>0</v>
      </c>
      <c r="AJ25" s="1304"/>
      <c r="AK25" s="1304"/>
      <c r="AL25" s="1304"/>
      <c r="AM25" s="1304"/>
      <c r="AN25" s="1304"/>
      <c r="AO25" s="1304"/>
      <c r="AP25" s="1304"/>
      <c r="AQ25" s="1304"/>
      <c r="AR25" s="1304"/>
      <c r="AS25" s="1304"/>
      <c r="AT25" s="1304"/>
      <c r="AU25" s="1304"/>
      <c r="AV25" s="1304"/>
      <c r="AW25" s="1304"/>
      <c r="AX25" s="1304"/>
      <c r="AY25" s="1304"/>
      <c r="AZ25" s="1304"/>
      <c r="BA25" s="1304"/>
      <c r="BB25" s="1304"/>
      <c r="BC25" s="1304"/>
      <c r="BD25" s="1304"/>
      <c r="BE25" s="1304"/>
      <c r="BF25" s="1304"/>
      <c r="BG25" s="1304"/>
      <c r="BH25" s="1304"/>
      <c r="BI25" s="1304"/>
      <c r="BJ25" s="1304"/>
      <c r="BK25" s="1304"/>
      <c r="BL25" s="1304"/>
      <c r="BM25" s="1304"/>
      <c r="BN25" s="1304"/>
      <c r="BO25" s="1304"/>
      <c r="BP25" s="1304"/>
      <c r="BQ25" s="1304"/>
      <c r="BR25" s="1304"/>
      <c r="BS25" s="1304"/>
      <c r="BT25" s="1304"/>
      <c r="BU25" s="1304"/>
      <c r="BV25" s="1304"/>
      <c r="BW25" s="1304"/>
      <c r="BX25" s="1304"/>
      <c r="BY25" s="1304"/>
      <c r="BZ25" s="1304"/>
      <c r="CA25" s="1304"/>
      <c r="CB25" s="1304"/>
      <c r="CC25" s="1304"/>
      <c r="CD25" s="1304"/>
      <c r="CE25" s="1304"/>
      <c r="CF25" s="1304"/>
      <c r="CG25" s="1304"/>
      <c r="CH25" s="1304"/>
      <c r="CI25" s="1304"/>
      <c r="CJ25" s="1304"/>
      <c r="CK25" s="1304"/>
      <c r="CL25" s="1304"/>
      <c r="CM25" s="1304"/>
      <c r="CN25" s="1304"/>
      <c r="CO25" s="1304"/>
      <c r="CP25" s="1304"/>
      <c r="CQ25" s="1304"/>
      <c r="CR25" s="1304"/>
      <c r="CS25" s="1305"/>
      <c r="CT25" s="1305"/>
      <c r="CU25" s="1305"/>
      <c r="CV25" s="1305"/>
      <c r="CW25" s="1305"/>
      <c r="CX25" s="1305"/>
      <c r="CY25" s="1305"/>
      <c r="CZ25" s="1305"/>
      <c r="DA25" s="29"/>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s="23" customFormat="1" ht="11.25" customHeight="1" outlineLevel="1">
      <c r="A26" s="16">
        <v>200025</v>
      </c>
      <c r="B26" s="20" t="s">
        <v>199</v>
      </c>
      <c r="C26" s="20" t="s">
        <v>531</v>
      </c>
      <c r="D26" s="20" t="s">
        <v>1078</v>
      </c>
      <c r="E26" s="20" t="s">
        <v>203</v>
      </c>
      <c r="F26" s="21" t="s">
        <v>1079</v>
      </c>
      <c r="G26" s="21">
        <v>15</v>
      </c>
      <c r="H26" s="21">
        <v>45</v>
      </c>
      <c r="I26" s="21">
        <v>45</v>
      </c>
      <c r="J26" s="42">
        <v>105</v>
      </c>
      <c r="K26" s="21">
        <v>15</v>
      </c>
      <c r="L26" s="21">
        <v>45</v>
      </c>
      <c r="M26" s="21">
        <v>15</v>
      </c>
      <c r="N26" s="21">
        <v>30</v>
      </c>
      <c r="O26" s="21">
        <v>45</v>
      </c>
      <c r="P26" s="21">
        <v>0</v>
      </c>
      <c r="Q26" s="21"/>
      <c r="R26" s="20">
        <f t="shared" si="1"/>
        <v>105</v>
      </c>
      <c r="S26" s="22">
        <f t="shared" si="2"/>
        <v>200025</v>
      </c>
      <c r="T26" s="22">
        <f>COUNTIF($V$4:V26,V26)</f>
        <v>2</v>
      </c>
      <c r="U26" s="22" t="str">
        <f>IF(T26=1,COUNTIF($T$4:T26,1),"")</f>
        <v/>
      </c>
      <c r="V26" s="23" t="str">
        <f t="shared" si="3"/>
        <v>北区03認定こども園</v>
      </c>
      <c r="W26" s="23" t="str">
        <f t="shared" si="4"/>
        <v>しんことに清香こども園</v>
      </c>
      <c r="X26" s="24">
        <v>22</v>
      </c>
      <c r="Y26" s="30" t="str">
        <f t="shared" si="6"/>
        <v/>
      </c>
      <c r="Z26" s="1304" t="str">
        <f t="shared" si="6"/>
        <v>認定こども園新琴似幼稚園</v>
      </c>
      <c r="AA26" s="1304" t="str">
        <f t="shared" si="6"/>
        <v>保育所型認定こども園丘珠ひばり保育園</v>
      </c>
      <c r="AB26" s="1304" t="str">
        <f t="shared" si="6"/>
        <v>認定こども園大谷地たかだ保育園</v>
      </c>
      <c r="AC26" s="1304" t="str">
        <f t="shared" si="6"/>
        <v/>
      </c>
      <c r="AD26" s="1304" t="str">
        <f t="shared" si="6"/>
        <v>西岡高台こども園</v>
      </c>
      <c r="AE26" s="1304" t="str">
        <f t="shared" si="6"/>
        <v/>
      </c>
      <c r="AF26" s="1304" t="str">
        <f t="shared" si="6"/>
        <v/>
      </c>
      <c r="AG26" s="1304" t="str">
        <f t="shared" si="6"/>
        <v>認定こども園かがやき</v>
      </c>
      <c r="AH26" s="1304" t="str">
        <f t="shared" si="6"/>
        <v/>
      </c>
      <c r="AI26" s="1304">
        <f t="shared" si="6"/>
        <v>0</v>
      </c>
      <c r="AJ26" s="1304"/>
      <c r="AK26" s="1304"/>
      <c r="AL26" s="1304"/>
      <c r="AM26" s="1304"/>
      <c r="AN26" s="1304"/>
      <c r="AO26" s="1304"/>
      <c r="AP26" s="1304"/>
      <c r="AQ26" s="1304"/>
      <c r="AR26" s="1304"/>
      <c r="AS26" s="1304"/>
      <c r="AT26" s="1304"/>
      <c r="AU26" s="1304"/>
      <c r="AV26" s="1304"/>
      <c r="AW26" s="1304"/>
      <c r="AX26" s="1304"/>
      <c r="AY26" s="1304"/>
      <c r="AZ26" s="1304"/>
      <c r="BA26" s="1304"/>
      <c r="BB26" s="1304"/>
      <c r="BC26" s="1304"/>
      <c r="BD26" s="1304"/>
      <c r="BE26" s="1304"/>
      <c r="BF26" s="1304"/>
      <c r="BG26" s="1304"/>
      <c r="BH26" s="1304"/>
      <c r="BI26" s="1304"/>
      <c r="BJ26" s="1304"/>
      <c r="BK26" s="1304"/>
      <c r="BL26" s="1304"/>
      <c r="BM26" s="1304"/>
      <c r="BN26" s="1304"/>
      <c r="BO26" s="1304"/>
      <c r="BP26" s="1304"/>
      <c r="BQ26" s="1304"/>
      <c r="BR26" s="1304"/>
      <c r="BS26" s="1304"/>
      <c r="BT26" s="1304"/>
      <c r="BU26" s="1304"/>
      <c r="BV26" s="1304"/>
      <c r="BW26" s="1304"/>
      <c r="BX26" s="1304"/>
      <c r="BY26" s="1304"/>
      <c r="BZ26" s="1304"/>
      <c r="CA26" s="1304"/>
      <c r="CB26" s="1304"/>
      <c r="CC26" s="1304"/>
      <c r="CD26" s="1304"/>
      <c r="CE26" s="1304"/>
      <c r="CF26" s="1304"/>
      <c r="CG26" s="1304"/>
      <c r="CH26" s="1304"/>
      <c r="CI26" s="1304"/>
      <c r="CJ26" s="1304"/>
      <c r="CK26" s="1304"/>
      <c r="CL26" s="1304"/>
      <c r="CM26" s="1304"/>
      <c r="CN26" s="1304"/>
      <c r="CO26" s="1304"/>
      <c r="CP26" s="1304"/>
      <c r="CQ26" s="1304"/>
      <c r="CR26" s="1304"/>
      <c r="CS26" s="1305"/>
      <c r="CT26" s="1305"/>
      <c r="CU26" s="1305"/>
      <c r="CV26" s="1305"/>
      <c r="CW26" s="1305"/>
      <c r="CX26" s="1305"/>
      <c r="CY26" s="1305"/>
      <c r="CZ26" s="1305"/>
      <c r="DA26" s="29"/>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s="23" customFormat="1" ht="11.25" customHeight="1" outlineLevel="1">
      <c r="A27" s="16">
        <v>200030</v>
      </c>
      <c r="B27" s="20" t="s">
        <v>199</v>
      </c>
      <c r="C27" s="20" t="s">
        <v>531</v>
      </c>
      <c r="D27" s="20" t="s">
        <v>1078</v>
      </c>
      <c r="E27" s="20" t="s">
        <v>203</v>
      </c>
      <c r="F27" s="21" t="s">
        <v>1289</v>
      </c>
      <c r="G27" s="21">
        <v>15</v>
      </c>
      <c r="H27" s="21">
        <v>83</v>
      </c>
      <c r="I27" s="21">
        <v>72</v>
      </c>
      <c r="J27" s="42">
        <v>170</v>
      </c>
      <c r="K27" s="21">
        <v>15</v>
      </c>
      <c r="L27" s="21">
        <v>83</v>
      </c>
      <c r="M27" s="21">
        <v>18</v>
      </c>
      <c r="N27" s="21">
        <v>54</v>
      </c>
      <c r="O27" s="1358">
        <v>37</v>
      </c>
      <c r="P27" s="21">
        <v>35</v>
      </c>
      <c r="Q27" s="21"/>
      <c r="R27" s="20">
        <f t="shared" si="1"/>
        <v>135</v>
      </c>
      <c r="S27" s="22">
        <f t="shared" si="2"/>
        <v>200030</v>
      </c>
      <c r="T27" s="22">
        <f>COUNTIF($V$4:V27,V27)</f>
        <v>3</v>
      </c>
      <c r="U27" s="22" t="str">
        <f>IF(T27=1,COUNTIF($T$4:T27,1),"")</f>
        <v/>
      </c>
      <c r="V27" s="23" t="str">
        <f t="shared" si="3"/>
        <v>北区03認定こども園</v>
      </c>
      <c r="W27" s="23" t="str">
        <f t="shared" si="4"/>
        <v>屯田おおふじ子ども園</v>
      </c>
      <c r="X27" s="24">
        <v>23</v>
      </c>
      <c r="Y27" s="30" t="str">
        <f t="shared" si="6"/>
        <v/>
      </c>
      <c r="Z27" s="1304" t="str">
        <f t="shared" si="6"/>
        <v>認定こども園つよし幼稚園</v>
      </c>
      <c r="AA27" s="1304" t="str">
        <f t="shared" si="6"/>
        <v>認定こども園こころのさと保育園</v>
      </c>
      <c r="AB27" s="1304" t="str">
        <f t="shared" si="6"/>
        <v>認定こども園南郷保育園</v>
      </c>
      <c r="AC27" s="1304" t="str">
        <f t="shared" si="6"/>
        <v/>
      </c>
      <c r="AD27" s="1304" t="str">
        <f t="shared" si="6"/>
        <v>中の島興正こども園</v>
      </c>
      <c r="AE27" s="1304" t="str">
        <f t="shared" si="6"/>
        <v/>
      </c>
      <c r="AF27" s="1304" t="str">
        <f t="shared" si="6"/>
        <v/>
      </c>
      <c r="AG27" s="1304" t="str">
        <f t="shared" si="6"/>
        <v>認定こども園ことに保育園</v>
      </c>
      <c r="AH27" s="1304" t="str">
        <f t="shared" si="6"/>
        <v/>
      </c>
      <c r="AI27" s="1304">
        <f t="shared" si="6"/>
        <v>0</v>
      </c>
      <c r="AJ27" s="1304"/>
      <c r="AK27" s="1304"/>
      <c r="AL27" s="1304"/>
      <c r="AM27" s="1304"/>
      <c r="AN27" s="1304"/>
      <c r="AO27" s="1304"/>
      <c r="AP27" s="1304"/>
      <c r="AQ27" s="1304"/>
      <c r="AR27" s="1304"/>
      <c r="AS27" s="1304"/>
      <c r="AT27" s="1304"/>
      <c r="AU27" s="1304"/>
      <c r="AV27" s="1304"/>
      <c r="AW27" s="1304"/>
      <c r="AX27" s="1304"/>
      <c r="AY27" s="1304"/>
      <c r="AZ27" s="1304"/>
      <c r="BA27" s="1304"/>
      <c r="BB27" s="1304"/>
      <c r="BC27" s="1304"/>
      <c r="BD27" s="1304"/>
      <c r="BE27" s="1304"/>
      <c r="BF27" s="1304"/>
      <c r="BG27" s="1304"/>
      <c r="BH27" s="1304"/>
      <c r="BI27" s="1304"/>
      <c r="BJ27" s="1304"/>
      <c r="BK27" s="1304"/>
      <c r="BL27" s="1304"/>
      <c r="BM27" s="1304"/>
      <c r="BN27" s="1304"/>
      <c r="BO27" s="1304"/>
      <c r="BP27" s="1304"/>
      <c r="BQ27" s="1304"/>
      <c r="BR27" s="1304"/>
      <c r="BS27" s="1304"/>
      <c r="BT27" s="1304"/>
      <c r="BU27" s="1304"/>
      <c r="BV27" s="1304"/>
      <c r="BW27" s="1304"/>
      <c r="BX27" s="1304"/>
      <c r="BY27" s="1304"/>
      <c r="BZ27" s="1304"/>
      <c r="CA27" s="1304"/>
      <c r="CB27" s="1304"/>
      <c r="CC27" s="1304"/>
      <c r="CD27" s="1304"/>
      <c r="CE27" s="1304"/>
      <c r="CF27" s="1304"/>
      <c r="CG27" s="1304"/>
      <c r="CH27" s="1304"/>
      <c r="CI27" s="1304"/>
      <c r="CJ27" s="1304"/>
      <c r="CK27" s="1304"/>
      <c r="CL27" s="1304"/>
      <c r="CM27" s="1304"/>
      <c r="CN27" s="1304"/>
      <c r="CO27" s="1304"/>
      <c r="CP27" s="1304"/>
      <c r="CQ27" s="1304"/>
      <c r="CR27" s="1304"/>
      <c r="CS27" s="1305"/>
      <c r="CT27" s="1305"/>
      <c r="CU27" s="1305"/>
      <c r="CV27" s="1305"/>
      <c r="CW27" s="1305"/>
      <c r="CX27" s="1305"/>
      <c r="CY27" s="1305"/>
      <c r="CZ27" s="1305"/>
      <c r="DA27" s="29"/>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s="23" customFormat="1" ht="11.25" customHeight="1" outlineLevel="1">
      <c r="A28" s="16">
        <v>200032</v>
      </c>
      <c r="B28" s="20" t="s">
        <v>199</v>
      </c>
      <c r="C28" s="20" t="s">
        <v>531</v>
      </c>
      <c r="D28" s="20" t="s">
        <v>1078</v>
      </c>
      <c r="E28" s="20" t="s">
        <v>203</v>
      </c>
      <c r="F28" s="21" t="s">
        <v>1080</v>
      </c>
      <c r="G28" s="21">
        <v>9</v>
      </c>
      <c r="H28" s="21">
        <v>38</v>
      </c>
      <c r="I28" s="21">
        <v>32</v>
      </c>
      <c r="J28" s="42">
        <v>79</v>
      </c>
      <c r="K28" s="21">
        <v>9</v>
      </c>
      <c r="L28" s="21">
        <v>38</v>
      </c>
      <c r="M28" s="21">
        <v>8</v>
      </c>
      <c r="N28" s="21">
        <v>24</v>
      </c>
      <c r="O28" s="21">
        <v>32</v>
      </c>
      <c r="P28" s="21">
        <v>0</v>
      </c>
      <c r="Q28" s="21"/>
      <c r="R28" s="20">
        <f t="shared" si="1"/>
        <v>79</v>
      </c>
      <c r="S28" s="22">
        <f t="shared" si="2"/>
        <v>200032</v>
      </c>
      <c r="T28" s="22">
        <f>COUNTIF($V$4:V28,V28)</f>
        <v>4</v>
      </c>
      <c r="U28" s="22" t="str">
        <f>IF(T28=1,COUNTIF($T$4:T28,1),"")</f>
        <v/>
      </c>
      <c r="V28" s="23" t="str">
        <f t="shared" si="3"/>
        <v>北区03認定こども園</v>
      </c>
      <c r="W28" s="23" t="str">
        <f t="shared" si="4"/>
        <v>新川西さくらこ認定こども園</v>
      </c>
      <c r="X28" s="24">
        <v>24</v>
      </c>
      <c r="Y28" s="30" t="str">
        <f t="shared" si="6"/>
        <v/>
      </c>
      <c r="Z28" s="1304" t="str">
        <f t="shared" si="6"/>
        <v>認定こども園藤幼稚園</v>
      </c>
      <c r="AA28" s="1304" t="str">
        <f t="shared" si="6"/>
        <v>認定こども園元町保育園</v>
      </c>
      <c r="AB28" s="1304" t="str">
        <f t="shared" si="6"/>
        <v>こども園まこと</v>
      </c>
      <c r="AC28" s="1304" t="str">
        <f t="shared" si="6"/>
        <v/>
      </c>
      <c r="AD28" s="1304" t="str">
        <f t="shared" si="6"/>
        <v>福住保育園</v>
      </c>
      <c r="AE28" s="1304" t="str">
        <f t="shared" si="6"/>
        <v/>
      </c>
      <c r="AF28" s="1304" t="str">
        <f t="shared" si="6"/>
        <v/>
      </c>
      <c r="AG28" s="1304" t="str">
        <f t="shared" si="6"/>
        <v>認定こども園森のタータン保育園宮の沢</v>
      </c>
      <c r="AH28" s="1304" t="str">
        <f t="shared" si="6"/>
        <v/>
      </c>
      <c r="AI28" s="1304">
        <f t="shared" si="6"/>
        <v>0</v>
      </c>
      <c r="AJ28" s="1304"/>
      <c r="AK28" s="1304"/>
      <c r="AL28" s="1304"/>
      <c r="AM28" s="1304"/>
      <c r="AN28" s="1304"/>
      <c r="AO28" s="1304"/>
      <c r="AP28" s="1304"/>
      <c r="AQ28" s="1304"/>
      <c r="AR28" s="1304"/>
      <c r="AS28" s="1304"/>
      <c r="AT28" s="1304"/>
      <c r="AU28" s="1304"/>
      <c r="AV28" s="1304"/>
      <c r="AW28" s="1304"/>
      <c r="AX28" s="1304"/>
      <c r="AY28" s="1304"/>
      <c r="AZ28" s="1304"/>
      <c r="BA28" s="1304"/>
      <c r="BB28" s="1304"/>
      <c r="BC28" s="1304"/>
      <c r="BD28" s="1304"/>
      <c r="BE28" s="1304"/>
      <c r="BF28" s="1304"/>
      <c r="BG28" s="1304"/>
      <c r="BH28" s="1304"/>
      <c r="BI28" s="1304"/>
      <c r="BJ28" s="1304"/>
      <c r="BK28" s="1304"/>
      <c r="BL28" s="1304"/>
      <c r="BM28" s="1304"/>
      <c r="BN28" s="1304"/>
      <c r="BO28" s="1304"/>
      <c r="BP28" s="1304"/>
      <c r="BQ28" s="1304"/>
      <c r="BR28" s="1304"/>
      <c r="BS28" s="1304"/>
      <c r="BT28" s="1304"/>
      <c r="BU28" s="1304"/>
      <c r="BV28" s="1304"/>
      <c r="BW28" s="1304"/>
      <c r="BX28" s="1304"/>
      <c r="BY28" s="1304"/>
      <c r="BZ28" s="1304"/>
      <c r="CA28" s="1304"/>
      <c r="CB28" s="1304"/>
      <c r="CC28" s="1304"/>
      <c r="CD28" s="1304"/>
      <c r="CE28" s="1304"/>
      <c r="CF28" s="1304"/>
      <c r="CG28" s="1304"/>
      <c r="CH28" s="1304"/>
      <c r="CI28" s="1304"/>
      <c r="CJ28" s="1304"/>
      <c r="CK28" s="1304"/>
      <c r="CL28" s="1304"/>
      <c r="CM28" s="1304"/>
      <c r="CN28" s="1304"/>
      <c r="CO28" s="1304"/>
      <c r="CP28" s="1304"/>
      <c r="CQ28" s="1304"/>
      <c r="CR28" s="1304"/>
      <c r="CS28" s="1305"/>
      <c r="CT28" s="1305"/>
      <c r="CU28" s="1305"/>
      <c r="CV28" s="1305"/>
      <c r="CW28" s="1305"/>
      <c r="CX28" s="1305"/>
      <c r="CY28" s="1305"/>
      <c r="CZ28" s="1305"/>
      <c r="DA28" s="29"/>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s="23" customFormat="1" ht="11.25" customHeight="1" outlineLevel="1">
      <c r="A29" s="16">
        <v>200033</v>
      </c>
      <c r="B29" s="20" t="s">
        <v>199</v>
      </c>
      <c r="C29" s="20" t="s">
        <v>531</v>
      </c>
      <c r="D29" s="20" t="s">
        <v>1069</v>
      </c>
      <c r="E29" s="20" t="s">
        <v>203</v>
      </c>
      <c r="F29" s="21" t="s">
        <v>204</v>
      </c>
      <c r="G29" s="21">
        <v>15</v>
      </c>
      <c r="H29" s="21">
        <v>71</v>
      </c>
      <c r="I29" s="21">
        <v>59</v>
      </c>
      <c r="J29" s="42">
        <v>145</v>
      </c>
      <c r="K29" s="21">
        <v>15</v>
      </c>
      <c r="L29" s="21">
        <v>66</v>
      </c>
      <c r="M29" s="21">
        <v>12</v>
      </c>
      <c r="N29" s="21">
        <v>42</v>
      </c>
      <c r="O29" s="21">
        <v>54</v>
      </c>
      <c r="P29" s="21">
        <v>0</v>
      </c>
      <c r="Q29" s="21"/>
      <c r="R29" s="20">
        <f t="shared" si="1"/>
        <v>135</v>
      </c>
      <c r="S29" s="22">
        <f t="shared" si="2"/>
        <v>200033</v>
      </c>
      <c r="T29" s="22">
        <f>COUNTIF($V$4:V29,V29)</f>
        <v>5</v>
      </c>
      <c r="U29" s="22" t="str">
        <f>IF(T29=1,COUNTIF($T$4:T29,1),"")</f>
        <v/>
      </c>
      <c r="V29" s="23" t="str">
        <f t="shared" si="3"/>
        <v>北区03認定こども園</v>
      </c>
      <c r="W29" s="23" t="str">
        <f t="shared" si="4"/>
        <v>こども園ソレイユ</v>
      </c>
      <c r="X29" s="24">
        <v>25</v>
      </c>
      <c r="Y29" s="30" t="str">
        <f t="shared" si="6"/>
        <v/>
      </c>
      <c r="Z29" s="1304" t="str">
        <f t="shared" si="6"/>
        <v>麻生保育園</v>
      </c>
      <c r="AA29" s="1304" t="str">
        <f t="shared" si="6"/>
        <v>北栄みどり保育園</v>
      </c>
      <c r="AB29" s="1304" t="str">
        <f t="shared" si="6"/>
        <v>北の星白石保育園</v>
      </c>
      <c r="AC29" s="1304" t="str">
        <f t="shared" si="6"/>
        <v/>
      </c>
      <c r="AD29" s="1304" t="str">
        <f t="shared" si="6"/>
        <v>平岸興正こども園</v>
      </c>
      <c r="AE29" s="1304" t="str">
        <f t="shared" si="6"/>
        <v/>
      </c>
      <c r="AF29" s="1304" t="str">
        <f t="shared" si="6"/>
        <v/>
      </c>
      <c r="AG29" s="1304" t="str">
        <f t="shared" si="6"/>
        <v>札幌西友愛認定こども園</v>
      </c>
      <c r="AH29" s="1304" t="str">
        <f t="shared" si="6"/>
        <v/>
      </c>
      <c r="AI29" s="1304">
        <f t="shared" si="6"/>
        <v>0</v>
      </c>
      <c r="AJ29" s="1304"/>
      <c r="AK29" s="1304"/>
      <c r="AL29" s="1304"/>
      <c r="AM29" s="1304"/>
      <c r="AN29" s="1304"/>
      <c r="AO29" s="1304"/>
      <c r="AP29" s="1304"/>
      <c r="AQ29" s="1304"/>
      <c r="AR29" s="1304"/>
      <c r="AS29" s="1304"/>
      <c r="AT29" s="1304"/>
      <c r="AU29" s="1304"/>
      <c r="AV29" s="1304"/>
      <c r="AW29" s="1304"/>
      <c r="AX29" s="1304"/>
      <c r="AY29" s="1304"/>
      <c r="AZ29" s="1304"/>
      <c r="BA29" s="1304"/>
      <c r="BB29" s="1304"/>
      <c r="BC29" s="1304"/>
      <c r="BD29" s="1304"/>
      <c r="BE29" s="1304"/>
      <c r="BF29" s="1304"/>
      <c r="BG29" s="1304"/>
      <c r="BH29" s="1304"/>
      <c r="BI29" s="1304"/>
      <c r="BJ29" s="1304"/>
      <c r="BK29" s="1304"/>
      <c r="BL29" s="1304"/>
      <c r="BM29" s="1304"/>
      <c r="BN29" s="1304"/>
      <c r="BO29" s="1304"/>
      <c r="BP29" s="1304"/>
      <c r="BQ29" s="1304"/>
      <c r="BR29" s="1304"/>
      <c r="BS29" s="1304"/>
      <c r="BT29" s="1304"/>
      <c r="BU29" s="1304"/>
      <c r="BV29" s="1304"/>
      <c r="BW29" s="1304"/>
      <c r="BX29" s="1304"/>
      <c r="BY29" s="1304"/>
      <c r="BZ29" s="1304"/>
      <c r="CA29" s="1304"/>
      <c r="CB29" s="1304"/>
      <c r="CC29" s="1304"/>
      <c r="CD29" s="1304"/>
      <c r="CE29" s="1304"/>
      <c r="CF29" s="1304"/>
      <c r="CG29" s="1304"/>
      <c r="CH29" s="1304"/>
      <c r="CI29" s="1304"/>
      <c r="CJ29" s="1304"/>
      <c r="CK29" s="1304"/>
      <c r="CL29" s="1304"/>
      <c r="CM29" s="1304"/>
      <c r="CN29" s="1304"/>
      <c r="CO29" s="1304"/>
      <c r="CP29" s="1304"/>
      <c r="CQ29" s="1304"/>
      <c r="CR29" s="1304"/>
      <c r="CS29" s="1305"/>
      <c r="CT29" s="1305"/>
      <c r="CU29" s="1305"/>
      <c r="CV29" s="1305"/>
      <c r="CW29" s="1305"/>
      <c r="CX29" s="1305"/>
      <c r="CY29" s="1305"/>
      <c r="CZ29" s="1305"/>
      <c r="DA29" s="29"/>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s="23" customFormat="1" ht="11.25" customHeight="1" outlineLevel="1">
      <c r="A30" s="16">
        <v>200034</v>
      </c>
      <c r="B30" s="20" t="s">
        <v>199</v>
      </c>
      <c r="C30" s="20" t="s">
        <v>531</v>
      </c>
      <c r="D30" s="20" t="s">
        <v>1078</v>
      </c>
      <c r="E30" s="20" t="s">
        <v>203</v>
      </c>
      <c r="F30" s="21" t="s">
        <v>1081</v>
      </c>
      <c r="G30" s="21">
        <v>15</v>
      </c>
      <c r="H30" s="21">
        <v>51</v>
      </c>
      <c r="I30" s="21">
        <v>39</v>
      </c>
      <c r="J30" s="42">
        <v>105</v>
      </c>
      <c r="K30" s="21">
        <v>15</v>
      </c>
      <c r="L30" s="21">
        <v>51</v>
      </c>
      <c r="M30" s="21">
        <v>5</v>
      </c>
      <c r="N30" s="21">
        <v>34</v>
      </c>
      <c r="O30" s="21">
        <v>39</v>
      </c>
      <c r="P30" s="21">
        <v>0</v>
      </c>
      <c r="Q30" s="21"/>
      <c r="R30" s="20">
        <f t="shared" si="1"/>
        <v>105</v>
      </c>
      <c r="S30" s="22">
        <f t="shared" si="2"/>
        <v>200034</v>
      </c>
      <c r="T30" s="22">
        <f>COUNTIF($V$4:V30,V30)</f>
        <v>6</v>
      </c>
      <c r="U30" s="22" t="str">
        <f>IF(T30=1,COUNTIF($T$4:T30,1),"")</f>
        <v/>
      </c>
      <c r="V30" s="23" t="str">
        <f t="shared" si="3"/>
        <v>北区03認定こども園</v>
      </c>
      <c r="W30" s="23" t="str">
        <f t="shared" si="4"/>
        <v>創成札幌こども園</v>
      </c>
      <c r="X30" s="24">
        <v>26</v>
      </c>
      <c r="Y30" s="30" t="str">
        <f t="shared" si="6"/>
        <v/>
      </c>
      <c r="Z30" s="1304" t="str">
        <f t="shared" si="6"/>
        <v>屯田保育園</v>
      </c>
      <c r="AA30" s="1304" t="str">
        <f t="shared" si="6"/>
        <v>丘珠マスカット保育園</v>
      </c>
      <c r="AB30" s="1304" t="str">
        <f t="shared" si="6"/>
        <v>保育所型認定こども園東川下ポッポ保育園</v>
      </c>
      <c r="AC30" s="1304" t="str">
        <f t="shared" si="6"/>
        <v/>
      </c>
      <c r="AD30" s="1304" t="str">
        <f t="shared" si="6"/>
        <v>認定こども園中の島スマイル</v>
      </c>
      <c r="AE30" s="1304" t="str">
        <f t="shared" si="6"/>
        <v/>
      </c>
      <c r="AF30" s="1304" t="str">
        <f t="shared" si="6"/>
        <v/>
      </c>
      <c r="AG30" s="1304" t="str">
        <f t="shared" si="6"/>
        <v>認定こども園山の手あすみ保育園</v>
      </c>
      <c r="AH30" s="1304" t="str">
        <f t="shared" si="6"/>
        <v/>
      </c>
      <c r="AI30" s="1304">
        <f t="shared" si="6"/>
        <v>0</v>
      </c>
      <c r="AJ30" s="1304"/>
      <c r="AK30" s="1304"/>
      <c r="AL30" s="1304"/>
      <c r="AM30" s="1304"/>
      <c r="AN30" s="1304"/>
      <c r="AO30" s="1304"/>
      <c r="AP30" s="1304"/>
      <c r="AQ30" s="1304"/>
      <c r="AR30" s="1304"/>
      <c r="AS30" s="1304"/>
      <c r="AT30" s="1304"/>
      <c r="AU30" s="1304"/>
      <c r="AV30" s="1304"/>
      <c r="AW30" s="1304"/>
      <c r="AX30" s="1304"/>
      <c r="AY30" s="1304"/>
      <c r="AZ30" s="1304"/>
      <c r="BA30" s="1304"/>
      <c r="BB30" s="1304"/>
      <c r="BC30" s="1304"/>
      <c r="BD30" s="1304"/>
      <c r="BE30" s="1304"/>
      <c r="BF30" s="1304"/>
      <c r="BG30" s="1304"/>
      <c r="BH30" s="1304"/>
      <c r="BI30" s="1304"/>
      <c r="BJ30" s="1304"/>
      <c r="BK30" s="1304"/>
      <c r="BL30" s="1304"/>
      <c r="BM30" s="1304"/>
      <c r="BN30" s="1304"/>
      <c r="BO30" s="1304"/>
      <c r="BP30" s="1304"/>
      <c r="BQ30" s="1304"/>
      <c r="BR30" s="1304"/>
      <c r="BS30" s="1304"/>
      <c r="BT30" s="1304"/>
      <c r="BU30" s="1304"/>
      <c r="BV30" s="1304"/>
      <c r="BW30" s="1304"/>
      <c r="BX30" s="1304"/>
      <c r="BY30" s="1304"/>
      <c r="BZ30" s="1304"/>
      <c r="CA30" s="1304"/>
      <c r="CB30" s="1304"/>
      <c r="CC30" s="1304"/>
      <c r="CD30" s="1304"/>
      <c r="CE30" s="1304"/>
      <c r="CF30" s="1304"/>
      <c r="CG30" s="1304"/>
      <c r="CH30" s="1304"/>
      <c r="CI30" s="1304"/>
      <c r="CJ30" s="1304"/>
      <c r="CK30" s="1304"/>
      <c r="CL30" s="1304"/>
      <c r="CM30" s="1304"/>
      <c r="CN30" s="1304"/>
      <c r="CO30" s="1304"/>
      <c r="CP30" s="1304"/>
      <c r="CQ30" s="1304"/>
      <c r="CR30" s="1304"/>
      <c r="CS30" s="1305"/>
      <c r="CT30" s="1305"/>
      <c r="CU30" s="1305"/>
      <c r="CV30" s="1305"/>
      <c r="CW30" s="1305"/>
      <c r="CX30" s="1305"/>
      <c r="CY30" s="1305"/>
      <c r="CZ30" s="1305"/>
      <c r="DA30" s="29"/>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s="23" customFormat="1" ht="11.25" customHeight="1" outlineLevel="1">
      <c r="A31" s="16">
        <v>200058</v>
      </c>
      <c r="B31" s="20" t="s">
        <v>199</v>
      </c>
      <c r="C31" s="20" t="s">
        <v>531</v>
      </c>
      <c r="D31" s="20" t="s">
        <v>1069</v>
      </c>
      <c r="E31" s="20" t="s">
        <v>203</v>
      </c>
      <c r="F31" s="21" t="s">
        <v>205</v>
      </c>
      <c r="G31" s="21">
        <v>120</v>
      </c>
      <c r="H31" s="21">
        <v>60</v>
      </c>
      <c r="I31" s="21">
        <v>30</v>
      </c>
      <c r="J31" s="42">
        <v>210</v>
      </c>
      <c r="K31" s="21">
        <v>105</v>
      </c>
      <c r="L31" s="21">
        <v>60</v>
      </c>
      <c r="M31" s="21">
        <v>3</v>
      </c>
      <c r="N31" s="21">
        <v>27</v>
      </c>
      <c r="O31" s="21">
        <v>30</v>
      </c>
      <c r="P31" s="21">
        <v>0</v>
      </c>
      <c r="Q31" s="21"/>
      <c r="R31" s="20">
        <f t="shared" si="1"/>
        <v>195</v>
      </c>
      <c r="S31" s="22">
        <f t="shared" si="2"/>
        <v>200058</v>
      </c>
      <c r="T31" s="22">
        <f>COUNTIF($V$4:V31,V31)</f>
        <v>7</v>
      </c>
      <c r="U31" s="22" t="str">
        <f>IF(T31=1,COUNTIF($T$4:T31,1),"")</f>
        <v/>
      </c>
      <c r="V31" s="23" t="str">
        <f t="shared" si="3"/>
        <v>北区03認定こども園</v>
      </c>
      <c r="W31" s="23" t="str">
        <f t="shared" si="4"/>
        <v>認定こども園太陽こころ幼稚園</v>
      </c>
      <c r="X31" s="24">
        <v>27</v>
      </c>
      <c r="Y31" s="30" t="str">
        <f t="shared" si="6"/>
        <v/>
      </c>
      <c r="Z31" s="1304" t="str">
        <f t="shared" si="6"/>
        <v>認定こども園篠路中央保育園</v>
      </c>
      <c r="AA31" s="1304" t="str">
        <f t="shared" si="6"/>
        <v>元町みどり保育園</v>
      </c>
      <c r="AB31" s="1304" t="str">
        <f t="shared" si="6"/>
        <v>保育所型認定こども園救世軍菊水上町保育園</v>
      </c>
      <c r="AC31" s="1304" t="str">
        <f t="shared" si="6"/>
        <v/>
      </c>
      <c r="AD31" s="1304" t="str">
        <f t="shared" si="6"/>
        <v>平岸友愛認定こども園</v>
      </c>
      <c r="AE31" s="1304" t="str">
        <f t="shared" si="6"/>
        <v/>
      </c>
      <c r="AF31" s="1304" t="str">
        <f t="shared" si="6"/>
        <v/>
      </c>
      <c r="AG31" s="1304" t="str">
        <f t="shared" si="6"/>
        <v>認定こども園ピッコロ子ども倶楽部福井保育園</v>
      </c>
      <c r="AH31" s="1304" t="str">
        <f t="shared" si="6"/>
        <v/>
      </c>
      <c r="AI31" s="1304">
        <f t="shared" si="6"/>
        <v>0</v>
      </c>
      <c r="AJ31" s="1304"/>
      <c r="AK31" s="1304"/>
      <c r="AL31" s="1304"/>
      <c r="AM31" s="1304"/>
      <c r="AN31" s="1304"/>
      <c r="AO31" s="1304"/>
      <c r="AP31" s="1304"/>
      <c r="AQ31" s="1304"/>
      <c r="AR31" s="1304"/>
      <c r="AS31" s="1304"/>
      <c r="AT31" s="1304"/>
      <c r="AU31" s="1304"/>
      <c r="AV31" s="1304"/>
      <c r="AW31" s="1304"/>
      <c r="AX31" s="1304"/>
      <c r="AY31" s="1304"/>
      <c r="AZ31" s="1304"/>
      <c r="BA31" s="1304"/>
      <c r="BB31" s="1304"/>
      <c r="BC31" s="1304"/>
      <c r="BD31" s="1304"/>
      <c r="BE31" s="1304"/>
      <c r="BF31" s="1304"/>
      <c r="BG31" s="1304"/>
      <c r="BH31" s="1304"/>
      <c r="BI31" s="1304"/>
      <c r="BJ31" s="1304"/>
      <c r="BK31" s="1304"/>
      <c r="BL31" s="1304"/>
      <c r="BM31" s="1304"/>
      <c r="BN31" s="1304"/>
      <c r="BO31" s="1304"/>
      <c r="BP31" s="1304"/>
      <c r="BQ31" s="1304"/>
      <c r="BR31" s="1304"/>
      <c r="BS31" s="1304"/>
      <c r="BT31" s="1304"/>
      <c r="BU31" s="1304"/>
      <c r="BV31" s="1304"/>
      <c r="BW31" s="1304"/>
      <c r="BX31" s="1304"/>
      <c r="BY31" s="1304"/>
      <c r="BZ31" s="1304"/>
      <c r="CA31" s="1304"/>
      <c r="CB31" s="1304"/>
      <c r="CC31" s="1304"/>
      <c r="CD31" s="1304"/>
      <c r="CE31" s="1304"/>
      <c r="CF31" s="1304"/>
      <c r="CG31" s="1304"/>
      <c r="CH31" s="1304"/>
      <c r="CI31" s="1304"/>
      <c r="CJ31" s="1304"/>
      <c r="CK31" s="1304"/>
      <c r="CL31" s="1304"/>
      <c r="CM31" s="1304"/>
      <c r="CN31" s="1304"/>
      <c r="CO31" s="1304"/>
      <c r="CP31" s="1304"/>
      <c r="CQ31" s="1304"/>
      <c r="CR31" s="1304"/>
      <c r="CS31" s="1305"/>
      <c r="CT31" s="1305"/>
      <c r="CU31" s="1305"/>
      <c r="CV31" s="1305"/>
      <c r="CW31" s="1305"/>
      <c r="CX31" s="1305"/>
      <c r="CY31" s="1305"/>
      <c r="CZ31" s="1305"/>
      <c r="DA31" s="29"/>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row r="32" spans="1:256" s="23" customFormat="1" ht="11.25" customHeight="1" outlineLevel="1">
      <c r="A32" s="16">
        <v>200059</v>
      </c>
      <c r="B32" s="20" t="s">
        <v>199</v>
      </c>
      <c r="C32" s="20" t="s">
        <v>531</v>
      </c>
      <c r="D32" s="20" t="s">
        <v>1069</v>
      </c>
      <c r="E32" s="20" t="s">
        <v>203</v>
      </c>
      <c r="F32" s="21" t="s">
        <v>206</v>
      </c>
      <c r="G32" s="21">
        <v>229</v>
      </c>
      <c r="H32" s="21">
        <v>91</v>
      </c>
      <c r="I32" s="21">
        <v>69</v>
      </c>
      <c r="J32" s="42">
        <v>389</v>
      </c>
      <c r="K32" s="21">
        <v>210</v>
      </c>
      <c r="L32" s="21">
        <v>91</v>
      </c>
      <c r="M32" s="21">
        <v>17</v>
      </c>
      <c r="N32" s="21">
        <v>52</v>
      </c>
      <c r="O32" s="1358">
        <v>40</v>
      </c>
      <c r="P32" s="21">
        <v>29</v>
      </c>
      <c r="Q32" s="21"/>
      <c r="R32" s="20">
        <f t="shared" si="1"/>
        <v>341</v>
      </c>
      <c r="S32" s="22">
        <f t="shared" si="2"/>
        <v>200059</v>
      </c>
      <c r="T32" s="22">
        <f>COUNTIF($V$4:V32,V32)</f>
        <v>8</v>
      </c>
      <c r="U32" s="22" t="str">
        <f>IF(T32=1,COUNTIF($T$4:T32,1),"")</f>
        <v/>
      </c>
      <c r="V32" s="23" t="str">
        <f t="shared" si="3"/>
        <v>北区03認定こども園</v>
      </c>
      <c r="W32" s="23" t="str">
        <f t="shared" si="4"/>
        <v>認定こども園こうほく</v>
      </c>
      <c r="X32" s="24">
        <v>28</v>
      </c>
      <c r="Y32" s="30" t="str">
        <f t="shared" si="6"/>
        <v/>
      </c>
      <c r="Z32" s="1304" t="str">
        <f t="shared" si="6"/>
        <v>認定こども園愛和えるむ保育園</v>
      </c>
      <c r="AA32" s="1304" t="str">
        <f t="shared" si="6"/>
        <v>認定こども園栄保育園</v>
      </c>
      <c r="AB32" s="1304" t="str">
        <f t="shared" si="6"/>
        <v>認定こども園白石うさこ保育園</v>
      </c>
      <c r="AC32" s="1304" t="str">
        <f t="shared" si="6"/>
        <v/>
      </c>
      <c r="AD32" s="1304" t="str">
        <f t="shared" si="6"/>
        <v>認定こども園月寒西わんぱく保育園</v>
      </c>
      <c r="AE32" s="1304" t="str">
        <f t="shared" si="6"/>
        <v/>
      </c>
      <c r="AF32" s="1304" t="str">
        <f t="shared" si="6"/>
        <v/>
      </c>
      <c r="AG32" s="1304" t="str">
        <f t="shared" si="6"/>
        <v/>
      </c>
      <c r="AH32" s="1304" t="str">
        <f t="shared" si="6"/>
        <v/>
      </c>
      <c r="AI32" s="1304">
        <f t="shared" si="6"/>
        <v>0</v>
      </c>
      <c r="AJ32" s="1304"/>
      <c r="AK32" s="1304"/>
      <c r="AL32" s="1304"/>
      <c r="AM32" s="1304"/>
      <c r="AN32" s="1304"/>
      <c r="AO32" s="1304"/>
      <c r="AP32" s="1304"/>
      <c r="AQ32" s="1304"/>
      <c r="AR32" s="1304"/>
      <c r="AS32" s="1304"/>
      <c r="AT32" s="1304"/>
      <c r="AU32" s="1304"/>
      <c r="AV32" s="1304"/>
      <c r="AW32" s="1304"/>
      <c r="AX32" s="1304"/>
      <c r="AY32" s="1304"/>
      <c r="AZ32" s="1304"/>
      <c r="BA32" s="1304"/>
      <c r="BB32" s="1304"/>
      <c r="BC32" s="1304"/>
      <c r="BD32" s="1304"/>
      <c r="BE32" s="1304"/>
      <c r="BF32" s="1304"/>
      <c r="BG32" s="1304"/>
      <c r="BH32" s="1304"/>
      <c r="BI32" s="1304"/>
      <c r="BJ32" s="1304"/>
      <c r="BK32" s="1304"/>
      <c r="BL32" s="1304"/>
      <c r="BM32" s="1304"/>
      <c r="BN32" s="1304"/>
      <c r="BO32" s="1304"/>
      <c r="BP32" s="1304"/>
      <c r="BQ32" s="1304"/>
      <c r="BR32" s="1304"/>
      <c r="BS32" s="1304"/>
      <c r="BT32" s="1304"/>
      <c r="BU32" s="1304"/>
      <c r="BV32" s="1304"/>
      <c r="BW32" s="1304"/>
      <c r="BX32" s="1304"/>
      <c r="BY32" s="1304"/>
      <c r="BZ32" s="1304"/>
      <c r="CA32" s="1304"/>
      <c r="CB32" s="1304"/>
      <c r="CC32" s="1304"/>
      <c r="CD32" s="1304"/>
      <c r="CE32" s="1304"/>
      <c r="CF32" s="1304"/>
      <c r="CG32" s="1304"/>
      <c r="CH32" s="1304"/>
      <c r="CI32" s="1304"/>
      <c r="CJ32" s="1304"/>
      <c r="CK32" s="1304"/>
      <c r="CL32" s="1304"/>
      <c r="CM32" s="1304"/>
      <c r="CN32" s="1304"/>
      <c r="CO32" s="1304"/>
      <c r="CP32" s="1304"/>
      <c r="CQ32" s="1304"/>
      <c r="CR32" s="1304"/>
      <c r="CS32" s="1305"/>
      <c r="CT32" s="1305"/>
      <c r="CU32" s="1305"/>
      <c r="CV32" s="1305"/>
      <c r="CW32" s="1305"/>
      <c r="CX32" s="1305"/>
      <c r="CY32" s="1305"/>
      <c r="CZ32" s="1305"/>
      <c r="DA32" s="29"/>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row>
    <row r="33" spans="1:256" s="32" customFormat="1" ht="11.25" customHeight="1" outlineLevel="1">
      <c r="A33" s="16">
        <v>200060</v>
      </c>
      <c r="B33" s="20" t="s">
        <v>199</v>
      </c>
      <c r="C33" s="20" t="s">
        <v>531</v>
      </c>
      <c r="D33" s="20" t="s">
        <v>1069</v>
      </c>
      <c r="E33" s="20" t="s">
        <v>203</v>
      </c>
      <c r="F33" s="21" t="s">
        <v>207</v>
      </c>
      <c r="G33" s="21">
        <v>120</v>
      </c>
      <c r="H33" s="21">
        <v>81</v>
      </c>
      <c r="I33" s="21">
        <v>49</v>
      </c>
      <c r="J33" s="42">
        <v>250</v>
      </c>
      <c r="K33" s="21">
        <v>75</v>
      </c>
      <c r="L33" s="21">
        <v>81</v>
      </c>
      <c r="M33" s="21">
        <v>7</v>
      </c>
      <c r="N33" s="21">
        <v>42</v>
      </c>
      <c r="O33" s="21">
        <v>49</v>
      </c>
      <c r="P33" s="21">
        <v>0</v>
      </c>
      <c r="Q33" s="21"/>
      <c r="R33" s="20">
        <f t="shared" si="1"/>
        <v>205</v>
      </c>
      <c r="S33" s="22">
        <f t="shared" si="2"/>
        <v>200060</v>
      </c>
      <c r="T33" s="22">
        <f>COUNTIF($V$4:V33,V33)</f>
        <v>9</v>
      </c>
      <c r="U33" s="22" t="str">
        <f>IF(T33=1,COUNTIF($T$4:T33,1),"")</f>
        <v/>
      </c>
      <c r="V33" s="23" t="str">
        <f t="shared" si="3"/>
        <v>北区03認定こども園</v>
      </c>
      <c r="W33" s="23" t="str">
        <f t="shared" si="4"/>
        <v>認定こども園ひまわり</v>
      </c>
      <c r="X33" s="24">
        <v>29</v>
      </c>
      <c r="Y33" s="30" t="str">
        <f t="shared" si="6"/>
        <v/>
      </c>
      <c r="Z33" s="1304" t="str">
        <f t="shared" si="6"/>
        <v>篠路高洋保育園</v>
      </c>
      <c r="AA33" s="1304" t="str">
        <f t="shared" si="6"/>
        <v>札幌フラワー保育園</v>
      </c>
      <c r="AB33" s="1304" t="str">
        <f t="shared" si="6"/>
        <v/>
      </c>
      <c r="AC33" s="1304" t="str">
        <f t="shared" si="6"/>
        <v/>
      </c>
      <c r="AD33" s="1304" t="str">
        <f t="shared" si="6"/>
        <v>認定こども園とよひら保育園</v>
      </c>
      <c r="AE33" s="1304" t="str">
        <f t="shared" si="6"/>
        <v/>
      </c>
      <c r="AF33" s="1304" t="str">
        <f t="shared" si="6"/>
        <v/>
      </c>
      <c r="AG33" s="1304" t="str">
        <f t="shared" si="6"/>
        <v/>
      </c>
      <c r="AH33" s="1304" t="str">
        <f t="shared" si="6"/>
        <v/>
      </c>
      <c r="AI33" s="1304">
        <f t="shared" si="6"/>
        <v>0</v>
      </c>
      <c r="AJ33" s="1304"/>
      <c r="AK33" s="1304"/>
      <c r="AL33" s="1304"/>
      <c r="AM33" s="1304"/>
      <c r="AN33" s="1304"/>
      <c r="AO33" s="1304"/>
      <c r="AP33" s="1304"/>
      <c r="AQ33" s="1304"/>
      <c r="AR33" s="1304"/>
      <c r="AS33" s="1304"/>
      <c r="AT33" s="1304"/>
      <c r="AU33" s="1304"/>
      <c r="AV33" s="1304"/>
      <c r="AW33" s="1304"/>
      <c r="AX33" s="1304"/>
      <c r="AY33" s="1304"/>
      <c r="AZ33" s="1304"/>
      <c r="BA33" s="1304"/>
      <c r="BB33" s="1304"/>
      <c r="BC33" s="1304"/>
      <c r="BD33" s="1304"/>
      <c r="BE33" s="1304"/>
      <c r="BF33" s="1304"/>
      <c r="BG33" s="1304"/>
      <c r="BH33" s="1304"/>
      <c r="BI33" s="1304"/>
      <c r="BJ33" s="1304"/>
      <c r="BK33" s="1304"/>
      <c r="BL33" s="1304"/>
      <c r="BM33" s="1304"/>
      <c r="BN33" s="1304"/>
      <c r="BO33" s="1304"/>
      <c r="BP33" s="1304"/>
      <c r="BQ33" s="1304"/>
      <c r="BR33" s="1304"/>
      <c r="BS33" s="1304"/>
      <c r="BT33" s="1304"/>
      <c r="BU33" s="1304"/>
      <c r="BV33" s="1304"/>
      <c r="BW33" s="1304"/>
      <c r="BX33" s="1304"/>
      <c r="BY33" s="1304"/>
      <c r="BZ33" s="1304"/>
      <c r="CA33" s="1304"/>
      <c r="CB33" s="1304"/>
      <c r="CC33" s="1304"/>
      <c r="CD33" s="1304"/>
      <c r="CE33" s="1304"/>
      <c r="CF33" s="1304"/>
      <c r="CG33" s="1304"/>
      <c r="CH33" s="1304"/>
      <c r="CI33" s="1304"/>
      <c r="CJ33" s="1304"/>
      <c r="CK33" s="1304"/>
      <c r="CL33" s="1304"/>
      <c r="CM33" s="1304"/>
      <c r="CN33" s="1304"/>
      <c r="CO33" s="1304"/>
      <c r="CP33" s="1304"/>
      <c r="CQ33" s="1304"/>
      <c r="CR33" s="1304"/>
      <c r="CS33" s="1305"/>
      <c r="CT33" s="1305"/>
      <c r="CU33" s="1305"/>
      <c r="CV33" s="1305"/>
      <c r="CW33" s="1305"/>
      <c r="CX33" s="1305"/>
      <c r="CY33" s="1305"/>
      <c r="CZ33" s="1305"/>
      <c r="DA33" s="29"/>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row>
    <row r="34" spans="1:256" s="23" customFormat="1" outlineLevel="1">
      <c r="A34" s="16">
        <v>200071</v>
      </c>
      <c r="B34" s="20" t="s">
        <v>199</v>
      </c>
      <c r="C34" s="20" t="s">
        <v>531</v>
      </c>
      <c r="D34" s="20" t="s">
        <v>1069</v>
      </c>
      <c r="E34" s="20" t="s">
        <v>203</v>
      </c>
      <c r="F34" s="21" t="s">
        <v>1086</v>
      </c>
      <c r="G34" s="21">
        <v>250</v>
      </c>
      <c r="H34" s="21">
        <v>37</v>
      </c>
      <c r="I34" s="21">
        <v>33</v>
      </c>
      <c r="J34" s="42">
        <v>320</v>
      </c>
      <c r="K34" s="21">
        <v>210</v>
      </c>
      <c r="L34" s="21">
        <v>37</v>
      </c>
      <c r="M34" s="21">
        <v>9</v>
      </c>
      <c r="N34" s="21">
        <v>24</v>
      </c>
      <c r="O34" s="21">
        <v>33</v>
      </c>
      <c r="P34" s="21">
        <v>0</v>
      </c>
      <c r="Q34" s="21"/>
      <c r="R34" s="20">
        <f t="shared" si="1"/>
        <v>280</v>
      </c>
      <c r="S34" s="22">
        <f t="shared" si="2"/>
        <v>200071</v>
      </c>
      <c r="T34" s="22">
        <f>COUNTIF($V$4:V34,V34)</f>
        <v>10</v>
      </c>
      <c r="U34" s="22" t="str">
        <f>IF(T34=1,COUNTIF($T$4:T34,1),"")</f>
        <v/>
      </c>
      <c r="V34" s="23" t="str">
        <f t="shared" si="3"/>
        <v>北区03認定こども園</v>
      </c>
      <c r="W34" s="23" t="str">
        <f t="shared" si="4"/>
        <v>認定こども園はなぞの</v>
      </c>
      <c r="X34" s="24">
        <v>30</v>
      </c>
      <c r="Y34" s="30" t="str">
        <f t="shared" si="6"/>
        <v/>
      </c>
      <c r="Z34" s="1304" t="str">
        <f t="shared" si="6"/>
        <v>三和新琴似保育園</v>
      </c>
      <c r="AA34" s="1304" t="str">
        <f t="shared" si="6"/>
        <v>伏古かしわ保育園</v>
      </c>
      <c r="AB34" s="1304" t="str">
        <f t="shared" si="6"/>
        <v/>
      </c>
      <c r="AC34" s="1304" t="str">
        <f t="shared" si="6"/>
        <v/>
      </c>
      <c r="AD34" s="1304" t="str">
        <f t="shared" si="6"/>
        <v/>
      </c>
      <c r="AE34" s="1304" t="str">
        <f t="shared" si="6"/>
        <v/>
      </c>
      <c r="AF34" s="1304" t="str">
        <f t="shared" si="6"/>
        <v/>
      </c>
      <c r="AG34" s="1304" t="str">
        <f t="shared" si="6"/>
        <v/>
      </c>
      <c r="AH34" s="1304" t="str">
        <f t="shared" si="6"/>
        <v/>
      </c>
      <c r="AI34" s="1304">
        <f t="shared" si="6"/>
        <v>0</v>
      </c>
      <c r="AJ34" s="1304"/>
      <c r="AK34" s="1304"/>
      <c r="AL34" s="1304"/>
      <c r="AM34" s="1304"/>
      <c r="AN34" s="1304"/>
      <c r="AO34" s="1304"/>
      <c r="AP34" s="1304"/>
      <c r="AQ34" s="1304"/>
      <c r="AR34" s="1304"/>
      <c r="AS34" s="1304"/>
      <c r="AT34" s="1304"/>
      <c r="AU34" s="1304"/>
      <c r="AV34" s="1304"/>
      <c r="AW34" s="1304"/>
      <c r="AX34" s="1304"/>
      <c r="AY34" s="1304"/>
      <c r="AZ34" s="1304"/>
      <c r="BA34" s="1304"/>
      <c r="BB34" s="1304"/>
      <c r="BC34" s="1304"/>
      <c r="BD34" s="1304"/>
      <c r="BE34" s="1304"/>
      <c r="BF34" s="1304"/>
      <c r="BG34" s="1304"/>
      <c r="BH34" s="1304"/>
      <c r="BI34" s="1304"/>
      <c r="BJ34" s="1304"/>
      <c r="BK34" s="1304"/>
      <c r="BL34" s="1304"/>
      <c r="BM34" s="1304"/>
      <c r="BN34" s="1304"/>
      <c r="BO34" s="1304"/>
      <c r="BP34" s="1304"/>
      <c r="BQ34" s="1304"/>
      <c r="BR34" s="1304"/>
      <c r="BS34" s="1304"/>
      <c r="BT34" s="1304"/>
      <c r="BU34" s="1304"/>
      <c r="BV34" s="1304"/>
      <c r="BW34" s="1304"/>
      <c r="BX34" s="1304"/>
      <c r="BY34" s="1304"/>
      <c r="BZ34" s="1304"/>
      <c r="CA34" s="1304"/>
      <c r="CB34" s="1304"/>
      <c r="CC34" s="1304"/>
      <c r="CD34" s="1304"/>
      <c r="CE34" s="1304"/>
      <c r="CF34" s="1304"/>
      <c r="CG34" s="1304"/>
      <c r="CH34" s="1304"/>
      <c r="CI34" s="1304"/>
      <c r="CJ34" s="1304"/>
      <c r="CK34" s="1304"/>
      <c r="CL34" s="1304"/>
      <c r="CM34" s="1304"/>
      <c r="CN34" s="1304"/>
      <c r="CO34" s="1304"/>
      <c r="CP34" s="1304"/>
      <c r="CQ34" s="1304"/>
      <c r="CR34" s="1304"/>
      <c r="CS34" s="1305"/>
      <c r="CT34" s="1305"/>
      <c r="CU34" s="1305"/>
      <c r="CV34" s="1305"/>
      <c r="CW34" s="1305"/>
      <c r="CX34" s="1305"/>
      <c r="CY34" s="1305"/>
      <c r="CZ34" s="1305"/>
      <c r="DA34" s="29"/>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row>
    <row r="35" spans="1:256" ht="11.25" customHeight="1" outlineLevel="1">
      <c r="A35" s="16">
        <v>200072</v>
      </c>
      <c r="B35" s="20" t="s">
        <v>199</v>
      </c>
      <c r="C35" s="20" t="s">
        <v>531</v>
      </c>
      <c r="D35" s="20" t="s">
        <v>1078</v>
      </c>
      <c r="E35" s="20" t="s">
        <v>203</v>
      </c>
      <c r="F35" s="21" t="s">
        <v>1087</v>
      </c>
      <c r="G35" s="21">
        <v>230</v>
      </c>
      <c r="H35" s="21">
        <v>99</v>
      </c>
      <c r="I35" s="21">
        <v>51</v>
      </c>
      <c r="J35" s="42">
        <v>380</v>
      </c>
      <c r="K35" s="21">
        <v>150</v>
      </c>
      <c r="L35" s="21">
        <v>99</v>
      </c>
      <c r="M35" s="21">
        <v>9</v>
      </c>
      <c r="N35" s="21">
        <v>42</v>
      </c>
      <c r="O35" s="21">
        <v>51</v>
      </c>
      <c r="P35" s="21">
        <v>0</v>
      </c>
      <c r="Q35" s="21"/>
      <c r="R35" s="20">
        <f t="shared" si="1"/>
        <v>300</v>
      </c>
      <c r="S35" s="22">
        <f t="shared" si="2"/>
        <v>200072</v>
      </c>
      <c r="T35" s="22">
        <f>COUNTIF($V$4:V35,V35)</f>
        <v>11</v>
      </c>
      <c r="U35" s="22" t="str">
        <f>IF(T35=1,COUNTIF($T$4:T35,1),"")</f>
        <v/>
      </c>
      <c r="V35" s="23" t="str">
        <f t="shared" si="3"/>
        <v>北区03認定こども園</v>
      </c>
      <c r="W35" s="23" t="str">
        <f t="shared" si="4"/>
        <v>認定こども園あいの里</v>
      </c>
      <c r="X35" s="24">
        <v>31</v>
      </c>
      <c r="Y35" s="30" t="str">
        <f t="shared" si="6"/>
        <v/>
      </c>
      <c r="Z35" s="1304" t="str">
        <f t="shared" si="6"/>
        <v>太平保育園</v>
      </c>
      <c r="AA35" s="1304" t="str">
        <f t="shared" si="6"/>
        <v>北栄マスカット保育園</v>
      </c>
      <c r="AB35" s="1304" t="str">
        <f t="shared" si="6"/>
        <v/>
      </c>
      <c r="AC35" s="1304" t="str">
        <f t="shared" si="6"/>
        <v/>
      </c>
      <c r="AD35" s="1304" t="str">
        <f t="shared" si="6"/>
        <v/>
      </c>
      <c r="AE35" s="1304" t="str">
        <f t="shared" si="6"/>
        <v/>
      </c>
      <c r="AF35" s="1304" t="str">
        <f t="shared" si="6"/>
        <v/>
      </c>
      <c r="AG35" s="1304" t="str">
        <f t="shared" si="6"/>
        <v/>
      </c>
      <c r="AH35" s="1304" t="str">
        <f t="shared" si="6"/>
        <v/>
      </c>
      <c r="AI35" s="1304">
        <f t="shared" si="6"/>
        <v>0</v>
      </c>
      <c r="AJ35" s="1304"/>
      <c r="AK35" s="1304"/>
      <c r="AL35" s="1304"/>
      <c r="AM35" s="1304"/>
      <c r="AN35" s="1304"/>
      <c r="AO35" s="1304"/>
      <c r="AP35" s="1304"/>
      <c r="AQ35" s="1304"/>
      <c r="AR35" s="1304"/>
      <c r="AS35" s="1304"/>
      <c r="AT35" s="1304"/>
      <c r="AU35" s="1304"/>
      <c r="AV35" s="1304"/>
      <c r="AW35" s="1304"/>
      <c r="AX35" s="1304"/>
      <c r="AY35" s="1304"/>
      <c r="AZ35" s="1304"/>
      <c r="BA35" s="1304"/>
      <c r="BB35" s="1304"/>
      <c r="BC35" s="1304"/>
      <c r="BD35" s="1304"/>
      <c r="BE35" s="1304"/>
      <c r="BF35" s="1304"/>
      <c r="BG35" s="1304"/>
      <c r="BH35" s="1304"/>
      <c r="BI35" s="1304"/>
      <c r="BJ35" s="1304"/>
      <c r="BK35" s="1304"/>
      <c r="BL35" s="1304"/>
      <c r="BM35" s="1304"/>
      <c r="BN35" s="1304"/>
      <c r="BO35" s="1304"/>
      <c r="BP35" s="1304"/>
      <c r="BQ35" s="1304"/>
      <c r="BR35" s="1304"/>
      <c r="BS35" s="1304"/>
      <c r="BT35" s="1304"/>
      <c r="BU35" s="1304"/>
      <c r="BV35" s="1304"/>
      <c r="BW35" s="1304"/>
      <c r="BX35" s="1304"/>
      <c r="BY35" s="1304"/>
      <c r="BZ35" s="1304"/>
      <c r="CA35" s="1304"/>
      <c r="CB35" s="1304"/>
      <c r="CC35" s="1304"/>
      <c r="CD35" s="1304"/>
      <c r="CE35" s="1304"/>
      <c r="CF35" s="1304"/>
      <c r="CG35" s="1304"/>
      <c r="CH35" s="1304"/>
      <c r="CI35" s="1304"/>
      <c r="CJ35" s="1304"/>
      <c r="CK35" s="1304"/>
      <c r="CL35" s="1304"/>
      <c r="CM35" s="1304"/>
      <c r="CN35" s="1304"/>
      <c r="CO35" s="1304"/>
      <c r="CP35" s="1304"/>
      <c r="CQ35" s="1304"/>
      <c r="CR35" s="1304"/>
      <c r="CS35" s="1305"/>
      <c r="CT35" s="1305"/>
      <c r="CU35" s="1305"/>
      <c r="CV35" s="1305"/>
      <c r="CW35" s="1305"/>
      <c r="CX35" s="1305"/>
      <c r="CY35" s="1305"/>
      <c r="CZ35" s="1305"/>
      <c r="DA35" s="29"/>
    </row>
    <row r="36" spans="1:256" s="23" customFormat="1" ht="11.25" customHeight="1" outlineLevel="1">
      <c r="A36" s="16">
        <v>200085</v>
      </c>
      <c r="B36" s="20" t="s">
        <v>199</v>
      </c>
      <c r="C36" s="20" t="s">
        <v>531</v>
      </c>
      <c r="D36" s="20" t="s">
        <v>1078</v>
      </c>
      <c r="E36" s="20" t="s">
        <v>203</v>
      </c>
      <c r="F36" s="21" t="s">
        <v>1290</v>
      </c>
      <c r="G36" s="21">
        <v>60</v>
      </c>
      <c r="H36" s="21">
        <v>31</v>
      </c>
      <c r="I36" s="21">
        <v>24</v>
      </c>
      <c r="J36" s="42">
        <v>115</v>
      </c>
      <c r="K36" s="21">
        <v>45</v>
      </c>
      <c r="L36" s="21">
        <v>31</v>
      </c>
      <c r="M36" s="21">
        <v>6</v>
      </c>
      <c r="N36" s="21">
        <v>18</v>
      </c>
      <c r="O36" s="21">
        <v>24</v>
      </c>
      <c r="P36" s="21">
        <v>0</v>
      </c>
      <c r="Q36" s="21"/>
      <c r="R36" s="20">
        <f t="shared" si="1"/>
        <v>100</v>
      </c>
      <c r="S36" s="22">
        <f t="shared" si="2"/>
        <v>200085</v>
      </c>
      <c r="T36" s="22">
        <f>COUNTIF($V$4:V36,V36)</f>
        <v>12</v>
      </c>
      <c r="U36" s="22" t="str">
        <f>IF(T36=1,COUNTIF($T$4:T36,1),"")</f>
        <v/>
      </c>
      <c r="V36" s="23" t="str">
        <f t="shared" si="3"/>
        <v>北区03認定こども園</v>
      </c>
      <c r="W36" s="23" t="str">
        <f t="shared" si="4"/>
        <v>認定こども園麻生明星幼稚園</v>
      </c>
      <c r="X36" s="24">
        <v>32</v>
      </c>
      <c r="Y36" s="30" t="str">
        <f t="shared" si="6"/>
        <v/>
      </c>
      <c r="Z36" s="1304" t="str">
        <f t="shared" si="6"/>
        <v>あかつき篠路保育園</v>
      </c>
      <c r="AA36" s="1304" t="str">
        <f t="shared" si="6"/>
        <v>栄町マスカット保育園</v>
      </c>
      <c r="AB36" s="1304" t="str">
        <f t="shared" si="6"/>
        <v/>
      </c>
      <c r="AC36" s="1304" t="str">
        <f t="shared" si="6"/>
        <v/>
      </c>
      <c r="AD36" s="1304" t="str">
        <f t="shared" si="6"/>
        <v/>
      </c>
      <c r="AE36" s="1304" t="str">
        <f t="shared" si="6"/>
        <v/>
      </c>
      <c r="AF36" s="1304" t="str">
        <f t="shared" si="6"/>
        <v/>
      </c>
      <c r="AG36" s="1304" t="str">
        <f t="shared" si="6"/>
        <v/>
      </c>
      <c r="AH36" s="1304" t="str">
        <f t="shared" si="6"/>
        <v/>
      </c>
      <c r="AI36" s="1304">
        <f t="shared" si="6"/>
        <v>0</v>
      </c>
      <c r="AJ36" s="1304"/>
      <c r="AK36" s="1304"/>
      <c r="AL36" s="1304"/>
      <c r="AM36" s="1304"/>
      <c r="AN36" s="1304"/>
      <c r="AO36" s="1304"/>
      <c r="AP36" s="1304"/>
      <c r="AQ36" s="1304"/>
      <c r="AR36" s="1304"/>
      <c r="AS36" s="1304"/>
      <c r="AT36" s="1304"/>
      <c r="AU36" s="1304"/>
      <c r="AV36" s="1304"/>
      <c r="AW36" s="1304"/>
      <c r="AX36" s="1304"/>
      <c r="AY36" s="1304"/>
      <c r="AZ36" s="1304"/>
      <c r="BA36" s="1304"/>
      <c r="BB36" s="1304"/>
      <c r="BC36" s="1304"/>
      <c r="BD36" s="1304"/>
      <c r="BE36" s="1304"/>
      <c r="BF36" s="1304"/>
      <c r="BG36" s="1304"/>
      <c r="BH36" s="1304"/>
      <c r="BI36" s="1304"/>
      <c r="BJ36" s="1304"/>
      <c r="BK36" s="1304"/>
      <c r="BL36" s="1304"/>
      <c r="BM36" s="1304"/>
      <c r="BN36" s="1304"/>
      <c r="BO36" s="1304"/>
      <c r="BP36" s="1304"/>
      <c r="BQ36" s="1304"/>
      <c r="BR36" s="1304"/>
      <c r="BS36" s="1304"/>
      <c r="BT36" s="1304"/>
      <c r="BU36" s="1304"/>
      <c r="BV36" s="1304"/>
      <c r="BW36" s="1304"/>
      <c r="BX36" s="1304"/>
      <c r="BY36" s="1304"/>
      <c r="BZ36" s="1304"/>
      <c r="CA36" s="1304"/>
      <c r="CB36" s="1304"/>
      <c r="CC36" s="1304"/>
      <c r="CD36" s="1304"/>
      <c r="CE36" s="1304"/>
      <c r="CF36" s="1304"/>
      <c r="CG36" s="1304"/>
      <c r="CH36" s="1304"/>
      <c r="CI36" s="1304"/>
      <c r="CJ36" s="1304"/>
      <c r="CK36" s="1304"/>
      <c r="CL36" s="1304"/>
      <c r="CM36" s="1304"/>
      <c r="CN36" s="1304"/>
      <c r="CO36" s="1304"/>
      <c r="CP36" s="1304"/>
      <c r="CQ36" s="1304"/>
      <c r="CR36" s="1304"/>
      <c r="CS36" s="1305"/>
      <c r="CT36" s="1305"/>
      <c r="CU36" s="1305"/>
      <c r="CV36" s="1305"/>
      <c r="CW36" s="1305"/>
      <c r="CX36" s="1305"/>
      <c r="CY36" s="1305"/>
      <c r="CZ36" s="1305"/>
      <c r="DA36" s="29"/>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row>
    <row r="37" spans="1:256" s="23" customFormat="1" ht="11.25" customHeight="1" outlineLevel="1">
      <c r="A37" s="16">
        <v>200088</v>
      </c>
      <c r="B37" s="20" t="s">
        <v>199</v>
      </c>
      <c r="C37" s="20" t="s">
        <v>531</v>
      </c>
      <c r="D37" s="20" t="s">
        <v>1078</v>
      </c>
      <c r="E37" s="20" t="s">
        <v>203</v>
      </c>
      <c r="F37" s="21" t="s">
        <v>1300</v>
      </c>
      <c r="G37" s="21">
        <v>90</v>
      </c>
      <c r="H37" s="21">
        <v>20</v>
      </c>
      <c r="I37" s="21">
        <v>10</v>
      </c>
      <c r="J37" s="42">
        <v>120</v>
      </c>
      <c r="K37" s="21">
        <v>90</v>
      </c>
      <c r="L37" s="21">
        <v>20</v>
      </c>
      <c r="M37" s="21">
        <v>3</v>
      </c>
      <c r="N37" s="21">
        <v>7</v>
      </c>
      <c r="O37" s="21">
        <v>10</v>
      </c>
      <c r="P37" s="21">
        <v>0</v>
      </c>
      <c r="Q37" s="21"/>
      <c r="R37" s="20">
        <f t="shared" si="1"/>
        <v>120</v>
      </c>
      <c r="S37" s="22">
        <f t="shared" si="2"/>
        <v>200088</v>
      </c>
      <c r="T37" s="22">
        <f>COUNTIF($V$4:V37,V37)</f>
        <v>13</v>
      </c>
      <c r="U37" s="22" t="str">
        <f>IF(T37=1,COUNTIF($T$4:T37,1),"")</f>
        <v/>
      </c>
      <c r="V37" s="23" t="str">
        <f t="shared" si="3"/>
        <v>北区03認定こども園</v>
      </c>
      <c r="W37" s="23" t="str">
        <f t="shared" si="4"/>
        <v>認定こども園茨戸メリー幼稚園</v>
      </c>
      <c r="X37" s="24">
        <v>33</v>
      </c>
      <c r="Y37" s="30" t="str">
        <f t="shared" ref="Y37:AI100" si="7">IFERROR(INDEX($T$4:$W$601,MATCH($X37&amp;Y$3,INDEX($T$4:$T$601&amp;$V$4:$V$601,),0),MATCH("施設名",$T$3:$W$3,0)),"")</f>
        <v/>
      </c>
      <c r="Z37" s="1304" t="str">
        <f t="shared" ref="Z37:AI52" si="8">IFERROR(INDEX($T$4:$W$601,MATCH($X37&amp;Z$3,INDEX($T$4:$T$601&amp;$V$4:$V$601,),0),MATCH("施設名",$T$3:$W$3,0)),"")</f>
        <v>札幌北保育園</v>
      </c>
      <c r="AA37" s="1304" t="str">
        <f t="shared" si="8"/>
        <v>認定こども園本町保育園</v>
      </c>
      <c r="AB37" s="1304" t="str">
        <f t="shared" si="8"/>
        <v/>
      </c>
      <c r="AC37" s="1304" t="str">
        <f t="shared" si="8"/>
        <v/>
      </c>
      <c r="AD37" s="1304" t="str">
        <f t="shared" si="8"/>
        <v/>
      </c>
      <c r="AE37" s="1304" t="str">
        <f t="shared" si="8"/>
        <v/>
      </c>
      <c r="AF37" s="1304" t="str">
        <f t="shared" si="8"/>
        <v/>
      </c>
      <c r="AG37" s="1304" t="str">
        <f t="shared" si="8"/>
        <v/>
      </c>
      <c r="AH37" s="1304" t="str">
        <f t="shared" si="8"/>
        <v/>
      </c>
      <c r="AI37" s="1304">
        <f t="shared" si="8"/>
        <v>0</v>
      </c>
      <c r="AJ37" s="1304"/>
      <c r="AK37" s="1304"/>
      <c r="AL37" s="1304"/>
      <c r="AM37" s="1304"/>
      <c r="AN37" s="1304"/>
      <c r="AO37" s="1304"/>
      <c r="AP37" s="1304"/>
      <c r="AQ37" s="1304"/>
      <c r="AR37" s="1304"/>
      <c r="AS37" s="1304"/>
      <c r="AT37" s="1304"/>
      <c r="AU37" s="1304"/>
      <c r="AV37" s="1304"/>
      <c r="AW37" s="1304"/>
      <c r="AX37" s="1304"/>
      <c r="AY37" s="1304"/>
      <c r="AZ37" s="1304"/>
      <c r="BA37" s="1304"/>
      <c r="BB37" s="1304"/>
      <c r="BC37" s="1304"/>
      <c r="BD37" s="1304"/>
      <c r="BE37" s="1304"/>
      <c r="BF37" s="1304"/>
      <c r="BG37" s="1304"/>
      <c r="BH37" s="1304"/>
      <c r="BI37" s="1304"/>
      <c r="BJ37" s="1304"/>
      <c r="BK37" s="1304"/>
      <c r="BL37" s="1304"/>
      <c r="BM37" s="1304"/>
      <c r="BN37" s="1304"/>
      <c r="BO37" s="1304"/>
      <c r="BP37" s="1304"/>
      <c r="BQ37" s="1304"/>
      <c r="BR37" s="1304"/>
      <c r="BS37" s="1304"/>
      <c r="BT37" s="1304"/>
      <c r="BU37" s="1304"/>
      <c r="BV37" s="1304"/>
      <c r="BW37" s="1304"/>
      <c r="BX37" s="1304"/>
      <c r="BY37" s="1304"/>
      <c r="BZ37" s="1304"/>
      <c r="CA37" s="1304"/>
      <c r="CB37" s="1304"/>
      <c r="CC37" s="1304"/>
      <c r="CD37" s="1304"/>
      <c r="CE37" s="1304"/>
      <c r="CF37" s="1304"/>
      <c r="CG37" s="1304"/>
      <c r="CH37" s="1304"/>
      <c r="CI37" s="1304"/>
      <c r="CJ37" s="1304"/>
      <c r="CK37" s="1304"/>
      <c r="CL37" s="1304"/>
      <c r="CM37" s="1304"/>
      <c r="CN37" s="1304"/>
      <c r="CO37" s="1304"/>
      <c r="CP37" s="1304"/>
      <c r="CQ37" s="1304"/>
      <c r="CR37" s="1304"/>
      <c r="CS37" s="1305"/>
      <c r="CT37" s="1305"/>
      <c r="CU37" s="1305"/>
      <c r="CV37" s="1305"/>
      <c r="CW37" s="1305"/>
      <c r="CX37" s="1305"/>
      <c r="CY37" s="1305"/>
      <c r="CZ37" s="1305"/>
      <c r="DA37" s="29"/>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row>
    <row r="38" spans="1:256" s="23" customFormat="1" ht="11.25" customHeight="1" outlineLevel="1">
      <c r="A38" s="16">
        <v>200097</v>
      </c>
      <c r="B38" s="20" t="s">
        <v>199</v>
      </c>
      <c r="C38" s="20" t="s">
        <v>531</v>
      </c>
      <c r="D38" s="20" t="s">
        <v>1078</v>
      </c>
      <c r="E38" s="20" t="s">
        <v>203</v>
      </c>
      <c r="F38" s="21" t="s">
        <v>1091</v>
      </c>
      <c r="G38" s="21">
        <v>200</v>
      </c>
      <c r="H38" s="21">
        <v>57</v>
      </c>
      <c r="I38" s="21">
        <v>43</v>
      </c>
      <c r="J38" s="42">
        <v>300</v>
      </c>
      <c r="K38" s="21">
        <v>200</v>
      </c>
      <c r="L38" s="21">
        <v>57</v>
      </c>
      <c r="M38" s="21">
        <v>6</v>
      </c>
      <c r="N38" s="21">
        <v>37</v>
      </c>
      <c r="O38" s="21">
        <v>43</v>
      </c>
      <c r="P38" s="21">
        <v>0</v>
      </c>
      <c r="Q38" s="21"/>
      <c r="R38" s="20">
        <f t="shared" si="1"/>
        <v>300</v>
      </c>
      <c r="S38" s="22">
        <f t="shared" si="2"/>
        <v>200097</v>
      </c>
      <c r="T38" s="22">
        <f>COUNTIF($V$4:V38,V38)</f>
        <v>14</v>
      </c>
      <c r="U38" s="22" t="str">
        <f>IF(T38=1,COUNTIF($T$4:T38,1),"")</f>
        <v/>
      </c>
      <c r="V38" s="23" t="str">
        <f t="shared" si="3"/>
        <v>北区03認定こども園</v>
      </c>
      <c r="W38" s="23" t="str">
        <f t="shared" si="4"/>
        <v>あいの里大藤幼稚園</v>
      </c>
      <c r="X38" s="24">
        <v>34</v>
      </c>
      <c r="Y38" s="30" t="str">
        <f t="shared" si="7"/>
        <v/>
      </c>
      <c r="Z38" s="1304" t="str">
        <f t="shared" si="8"/>
        <v>札幌こばと保育園</v>
      </c>
      <c r="AA38" s="1304" t="str">
        <f t="shared" si="8"/>
        <v>認定こども園愛和新穂保育園</v>
      </c>
      <c r="AB38" s="1304" t="str">
        <f t="shared" si="8"/>
        <v/>
      </c>
      <c r="AC38" s="1304" t="str">
        <f t="shared" si="8"/>
        <v/>
      </c>
      <c r="AD38" s="1304" t="str">
        <f t="shared" si="8"/>
        <v/>
      </c>
      <c r="AE38" s="1304" t="str">
        <f t="shared" si="8"/>
        <v/>
      </c>
      <c r="AF38" s="1304" t="str">
        <f t="shared" si="8"/>
        <v/>
      </c>
      <c r="AG38" s="1304" t="str">
        <f t="shared" si="8"/>
        <v/>
      </c>
      <c r="AH38" s="1304" t="str">
        <f t="shared" si="8"/>
        <v/>
      </c>
      <c r="AI38" s="1304">
        <f t="shared" si="8"/>
        <v>0</v>
      </c>
      <c r="AJ38" s="1304"/>
      <c r="AK38" s="1304"/>
      <c r="AL38" s="1304"/>
      <c r="AM38" s="1304"/>
      <c r="AN38" s="1304"/>
      <c r="AO38" s="1304"/>
      <c r="AP38" s="1304"/>
      <c r="AQ38" s="1304"/>
      <c r="AR38" s="1304"/>
      <c r="AS38" s="1304"/>
      <c r="AT38" s="1304"/>
      <c r="AU38" s="1304"/>
      <c r="AV38" s="1304"/>
      <c r="AW38" s="1304"/>
      <c r="AX38" s="1304"/>
      <c r="AY38" s="1304"/>
      <c r="AZ38" s="1304"/>
      <c r="BA38" s="1304"/>
      <c r="BB38" s="1304"/>
      <c r="BC38" s="1304"/>
      <c r="BD38" s="1304"/>
      <c r="BE38" s="1304"/>
      <c r="BF38" s="1304"/>
      <c r="BG38" s="1304"/>
      <c r="BH38" s="1304"/>
      <c r="BI38" s="1304"/>
      <c r="BJ38" s="1304"/>
      <c r="BK38" s="1304"/>
      <c r="BL38" s="1304"/>
      <c r="BM38" s="1304"/>
      <c r="BN38" s="1304"/>
      <c r="BO38" s="1304"/>
      <c r="BP38" s="1304"/>
      <c r="BQ38" s="1304"/>
      <c r="BR38" s="1304"/>
      <c r="BS38" s="1304"/>
      <c r="BT38" s="1304"/>
      <c r="BU38" s="1304"/>
      <c r="BV38" s="1304"/>
      <c r="BW38" s="1304"/>
      <c r="BX38" s="1304"/>
      <c r="BY38" s="1304"/>
      <c r="BZ38" s="1304"/>
      <c r="CA38" s="1304"/>
      <c r="CB38" s="1304"/>
      <c r="CC38" s="1304"/>
      <c r="CD38" s="1304"/>
      <c r="CE38" s="1304"/>
      <c r="CF38" s="1304"/>
      <c r="CG38" s="1304"/>
      <c r="CH38" s="1304"/>
      <c r="CI38" s="1304"/>
      <c r="CJ38" s="1304"/>
      <c r="CK38" s="1304"/>
      <c r="CL38" s="1304"/>
      <c r="CM38" s="1304"/>
      <c r="CN38" s="1304"/>
      <c r="CO38" s="1304"/>
      <c r="CP38" s="1304"/>
      <c r="CQ38" s="1304"/>
      <c r="CR38" s="1304"/>
      <c r="CS38" s="1305"/>
      <c r="CT38" s="1305"/>
      <c r="CU38" s="1305"/>
      <c r="CV38" s="1305"/>
      <c r="CW38" s="1305"/>
      <c r="CX38" s="1305"/>
      <c r="CY38" s="1305"/>
      <c r="CZ38" s="1305"/>
      <c r="DA38" s="29"/>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row>
    <row r="39" spans="1:256" s="23" customFormat="1" ht="11.25" customHeight="1" outlineLevel="1">
      <c r="A39" s="16">
        <v>200105</v>
      </c>
      <c r="B39" s="20" t="s">
        <v>199</v>
      </c>
      <c r="C39" s="20" t="s">
        <v>531</v>
      </c>
      <c r="D39" s="20" t="s">
        <v>1078</v>
      </c>
      <c r="E39" s="20" t="s">
        <v>203</v>
      </c>
      <c r="F39" s="21" t="s">
        <v>1092</v>
      </c>
      <c r="G39" s="21">
        <v>15</v>
      </c>
      <c r="H39" s="21">
        <v>51</v>
      </c>
      <c r="I39" s="21">
        <v>39</v>
      </c>
      <c r="J39" s="42">
        <v>105</v>
      </c>
      <c r="K39" s="21">
        <v>15</v>
      </c>
      <c r="L39" s="21">
        <v>51</v>
      </c>
      <c r="M39" s="21">
        <v>5</v>
      </c>
      <c r="N39" s="21">
        <v>34</v>
      </c>
      <c r="O39" s="21">
        <v>39</v>
      </c>
      <c r="P39" s="21">
        <v>0</v>
      </c>
      <c r="Q39" s="21"/>
      <c r="R39" s="20">
        <f t="shared" si="1"/>
        <v>105</v>
      </c>
      <c r="S39" s="22">
        <f t="shared" si="2"/>
        <v>200105</v>
      </c>
      <c r="T39" s="22">
        <f>COUNTIF($V$4:V39,V39)</f>
        <v>15</v>
      </c>
      <c r="U39" s="22" t="str">
        <f>IF(T39=1,COUNTIF($T$4:T39,1),"")</f>
        <v/>
      </c>
      <c r="V39" s="23" t="str">
        <f t="shared" si="3"/>
        <v>北区03認定こども園</v>
      </c>
      <c r="W39" s="23" t="str">
        <f t="shared" si="4"/>
        <v>認定こども園メルシー学院</v>
      </c>
      <c r="X39" s="24">
        <v>35</v>
      </c>
      <c r="Y39" s="30" t="str">
        <f t="shared" si="7"/>
        <v/>
      </c>
      <c r="Z39" s="1304" t="str">
        <f t="shared" si="8"/>
        <v>幌北中央保育園</v>
      </c>
      <c r="AA39" s="1304" t="str">
        <f t="shared" si="8"/>
        <v>認定こども園中沼保育園</v>
      </c>
      <c r="AB39" s="1304" t="str">
        <f t="shared" si="8"/>
        <v/>
      </c>
      <c r="AC39" s="1304" t="str">
        <f t="shared" si="8"/>
        <v/>
      </c>
      <c r="AD39" s="1304" t="str">
        <f t="shared" si="8"/>
        <v/>
      </c>
      <c r="AE39" s="1304" t="str">
        <f t="shared" si="8"/>
        <v/>
      </c>
      <c r="AF39" s="1304" t="str">
        <f t="shared" si="8"/>
        <v/>
      </c>
      <c r="AG39" s="1304" t="str">
        <f t="shared" si="8"/>
        <v/>
      </c>
      <c r="AH39" s="1304" t="str">
        <f t="shared" si="8"/>
        <v/>
      </c>
      <c r="AI39" s="1304">
        <f t="shared" si="8"/>
        <v>0</v>
      </c>
      <c r="AJ39" s="1304"/>
      <c r="AK39" s="1304"/>
      <c r="AL39" s="1304"/>
      <c r="AM39" s="1304"/>
      <c r="AN39" s="1304"/>
      <c r="AO39" s="1304"/>
      <c r="AP39" s="1304"/>
      <c r="AQ39" s="1304"/>
      <c r="AR39" s="1304"/>
      <c r="AS39" s="1304"/>
      <c r="AT39" s="1304"/>
      <c r="AU39" s="1304"/>
      <c r="AV39" s="1304"/>
      <c r="AW39" s="1304"/>
      <c r="AX39" s="1304"/>
      <c r="AY39" s="1304"/>
      <c r="AZ39" s="1304"/>
      <c r="BA39" s="1304"/>
      <c r="BB39" s="1304"/>
      <c r="BC39" s="1304"/>
      <c r="BD39" s="1304"/>
      <c r="BE39" s="1304"/>
      <c r="BF39" s="1304"/>
      <c r="BG39" s="1304"/>
      <c r="BH39" s="1304"/>
      <c r="BI39" s="1304"/>
      <c r="BJ39" s="1304"/>
      <c r="BK39" s="1304"/>
      <c r="BL39" s="1304"/>
      <c r="BM39" s="1304"/>
      <c r="BN39" s="1304"/>
      <c r="BO39" s="1304"/>
      <c r="BP39" s="1304"/>
      <c r="BQ39" s="1304"/>
      <c r="BR39" s="1304"/>
      <c r="BS39" s="1304"/>
      <c r="BT39" s="1304"/>
      <c r="BU39" s="1304"/>
      <c r="BV39" s="1304"/>
      <c r="BW39" s="1304"/>
      <c r="BX39" s="1304"/>
      <c r="BY39" s="1304"/>
      <c r="BZ39" s="1304"/>
      <c r="CA39" s="1304"/>
      <c r="CB39" s="1304"/>
      <c r="CC39" s="1304"/>
      <c r="CD39" s="1304"/>
      <c r="CE39" s="1304"/>
      <c r="CF39" s="1304"/>
      <c r="CG39" s="1304"/>
      <c r="CH39" s="1304"/>
      <c r="CI39" s="1304"/>
      <c r="CJ39" s="1304"/>
      <c r="CK39" s="1304"/>
      <c r="CL39" s="1304"/>
      <c r="CM39" s="1304"/>
      <c r="CN39" s="1304"/>
      <c r="CO39" s="1304"/>
      <c r="CP39" s="1304"/>
      <c r="CQ39" s="1304"/>
      <c r="CR39" s="1304"/>
      <c r="CS39" s="1305"/>
      <c r="CT39" s="1305"/>
      <c r="CU39" s="1305"/>
      <c r="CV39" s="1305"/>
      <c r="CW39" s="1305"/>
      <c r="CX39" s="1305"/>
      <c r="CY39" s="1305"/>
      <c r="CZ39" s="1305"/>
      <c r="DA39" s="29"/>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row>
    <row r="40" spans="1:256" s="23" customFormat="1" ht="11.25" customHeight="1" outlineLevel="1">
      <c r="A40" s="16">
        <v>200106</v>
      </c>
      <c r="B40" s="20" t="s">
        <v>199</v>
      </c>
      <c r="C40" s="20" t="s">
        <v>531</v>
      </c>
      <c r="D40" s="20" t="s">
        <v>1069</v>
      </c>
      <c r="E40" s="20" t="s">
        <v>203</v>
      </c>
      <c r="F40" s="21" t="s">
        <v>1093</v>
      </c>
      <c r="G40" s="21">
        <v>30</v>
      </c>
      <c r="H40" s="21">
        <v>51</v>
      </c>
      <c r="I40" s="21">
        <v>39</v>
      </c>
      <c r="J40" s="42">
        <v>120</v>
      </c>
      <c r="K40" s="21">
        <v>30</v>
      </c>
      <c r="L40" s="21">
        <v>51</v>
      </c>
      <c r="M40" s="21">
        <v>5</v>
      </c>
      <c r="N40" s="21">
        <v>34</v>
      </c>
      <c r="O40" s="21">
        <v>39</v>
      </c>
      <c r="P40" s="21">
        <v>0</v>
      </c>
      <c r="Q40" s="21"/>
      <c r="R40" s="20">
        <f t="shared" si="1"/>
        <v>120</v>
      </c>
      <c r="S40" s="22">
        <f t="shared" si="2"/>
        <v>200106</v>
      </c>
      <c r="T40" s="22">
        <f>COUNTIF($V$4:V40,V40)</f>
        <v>16</v>
      </c>
      <c r="U40" s="22" t="str">
        <f>IF(T40=1,COUNTIF($T$4:T40,1),"")</f>
        <v/>
      </c>
      <c r="V40" s="23" t="str">
        <f t="shared" si="3"/>
        <v>北区03認定こども園</v>
      </c>
      <c r="W40" s="23" t="str">
        <f t="shared" si="4"/>
        <v>認定こども園太平あずさ保育園</v>
      </c>
      <c r="X40" s="24">
        <v>36</v>
      </c>
      <c r="Y40" s="30" t="str">
        <f t="shared" si="7"/>
        <v/>
      </c>
      <c r="Z40" s="1304" t="str">
        <f t="shared" si="8"/>
        <v>新川北保育園</v>
      </c>
      <c r="AA40" s="1304" t="str">
        <f t="shared" si="8"/>
        <v>認定こども園かりき保育園</v>
      </c>
      <c r="AB40" s="1304" t="str">
        <f t="shared" si="8"/>
        <v/>
      </c>
      <c r="AC40" s="1304" t="str">
        <f t="shared" si="8"/>
        <v/>
      </c>
      <c r="AD40" s="1304" t="str">
        <f t="shared" si="8"/>
        <v/>
      </c>
      <c r="AE40" s="1304" t="str">
        <f t="shared" si="8"/>
        <v/>
      </c>
      <c r="AF40" s="1304" t="str">
        <f t="shared" si="8"/>
        <v/>
      </c>
      <c r="AG40" s="1304" t="str">
        <f t="shared" si="8"/>
        <v/>
      </c>
      <c r="AH40" s="1304" t="str">
        <f t="shared" si="8"/>
        <v/>
      </c>
      <c r="AI40" s="1304">
        <f t="shared" si="8"/>
        <v>0</v>
      </c>
      <c r="AJ40" s="1304"/>
      <c r="AK40" s="1304"/>
      <c r="AL40" s="1304"/>
      <c r="AM40" s="1304"/>
      <c r="AN40" s="1304"/>
      <c r="AO40" s="1304"/>
      <c r="AP40" s="1304"/>
      <c r="AQ40" s="1304"/>
      <c r="AR40" s="1304"/>
      <c r="AS40" s="1304"/>
      <c r="AT40" s="1304"/>
      <c r="AU40" s="1304"/>
      <c r="AV40" s="1304"/>
      <c r="AW40" s="1304"/>
      <c r="AX40" s="1304"/>
      <c r="AY40" s="1304"/>
      <c r="AZ40" s="1304"/>
      <c r="BA40" s="1304"/>
      <c r="BB40" s="1304"/>
      <c r="BC40" s="1304"/>
      <c r="BD40" s="1304"/>
      <c r="BE40" s="1304"/>
      <c r="BF40" s="1304"/>
      <c r="BG40" s="1304"/>
      <c r="BH40" s="1304"/>
      <c r="BI40" s="1304"/>
      <c r="BJ40" s="1304"/>
      <c r="BK40" s="1304"/>
      <c r="BL40" s="1304"/>
      <c r="BM40" s="1304"/>
      <c r="BN40" s="1304"/>
      <c r="BO40" s="1304"/>
      <c r="BP40" s="1304"/>
      <c r="BQ40" s="1304"/>
      <c r="BR40" s="1304"/>
      <c r="BS40" s="1304"/>
      <c r="BT40" s="1304"/>
      <c r="BU40" s="1304"/>
      <c r="BV40" s="1304"/>
      <c r="BW40" s="1304"/>
      <c r="BX40" s="1304"/>
      <c r="BY40" s="1304"/>
      <c r="BZ40" s="1304"/>
      <c r="CA40" s="1304"/>
      <c r="CB40" s="1304"/>
      <c r="CC40" s="1304"/>
      <c r="CD40" s="1304"/>
      <c r="CE40" s="1304"/>
      <c r="CF40" s="1304"/>
      <c r="CG40" s="1304"/>
      <c r="CH40" s="1304"/>
      <c r="CI40" s="1304"/>
      <c r="CJ40" s="1304"/>
      <c r="CK40" s="1304"/>
      <c r="CL40" s="1304"/>
      <c r="CM40" s="1304"/>
      <c r="CN40" s="1304"/>
      <c r="CO40" s="1304"/>
      <c r="CP40" s="1304"/>
      <c r="CQ40" s="1304"/>
      <c r="CR40" s="1304"/>
      <c r="CS40" s="1305"/>
      <c r="CT40" s="1305"/>
      <c r="CU40" s="1305"/>
      <c r="CV40" s="1305"/>
      <c r="CW40" s="1305"/>
      <c r="CX40" s="1305"/>
      <c r="CY40" s="1305"/>
      <c r="CZ40" s="1305"/>
      <c r="DA40" s="29"/>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row>
    <row r="41" spans="1:256" s="23" customFormat="1" ht="11.25" customHeight="1" outlineLevel="1">
      <c r="A41" s="16">
        <v>200111</v>
      </c>
      <c r="B41" s="20" t="s">
        <v>199</v>
      </c>
      <c r="C41" s="20" t="s">
        <v>531</v>
      </c>
      <c r="D41" s="20" t="s">
        <v>1078</v>
      </c>
      <c r="E41" s="20" t="s">
        <v>203</v>
      </c>
      <c r="F41" s="21" t="s">
        <v>1287</v>
      </c>
      <c r="G41" s="21">
        <v>150</v>
      </c>
      <c r="H41" s="21">
        <v>46</v>
      </c>
      <c r="I41" s="21">
        <v>34</v>
      </c>
      <c r="J41" s="42">
        <v>230</v>
      </c>
      <c r="K41" s="21">
        <v>150</v>
      </c>
      <c r="L41" s="21">
        <v>46</v>
      </c>
      <c r="M41" s="21">
        <v>4</v>
      </c>
      <c r="N41" s="21">
        <v>30</v>
      </c>
      <c r="O41" s="21">
        <v>34</v>
      </c>
      <c r="P41" s="21">
        <v>0</v>
      </c>
      <c r="Q41" s="21"/>
      <c r="R41" s="20">
        <f t="shared" si="1"/>
        <v>230</v>
      </c>
      <c r="S41" s="22">
        <f t="shared" si="2"/>
        <v>200111</v>
      </c>
      <c r="T41" s="22">
        <f>COUNTIF($V$4:V41,V41)</f>
        <v>17</v>
      </c>
      <c r="U41" s="22" t="str">
        <f>IF(T41=1,COUNTIF($T$4:T41,1),"")</f>
        <v/>
      </c>
      <c r="V41" s="23" t="str">
        <f t="shared" si="3"/>
        <v>北区03認定こども園</v>
      </c>
      <c r="W41" s="23" t="str">
        <f t="shared" si="4"/>
        <v>幼保連携型認定こども園ＣｉｎｑＰｅｒｌｅｓ幼稚園</v>
      </c>
      <c r="X41" s="24">
        <v>37</v>
      </c>
      <c r="Y41" s="30" t="str">
        <f t="shared" si="7"/>
        <v/>
      </c>
      <c r="Z41" s="1304" t="str">
        <f t="shared" si="8"/>
        <v>あいの里保育園</v>
      </c>
      <c r="AA41" s="1304" t="str">
        <f t="shared" si="8"/>
        <v>開成みどり保育園</v>
      </c>
      <c r="AB41" s="1304" t="str">
        <f t="shared" si="8"/>
        <v/>
      </c>
      <c r="AC41" s="1304" t="str">
        <f t="shared" si="8"/>
        <v/>
      </c>
      <c r="AD41" s="1304" t="str">
        <f t="shared" si="8"/>
        <v/>
      </c>
      <c r="AE41" s="1304" t="str">
        <f t="shared" si="8"/>
        <v/>
      </c>
      <c r="AF41" s="1304" t="str">
        <f t="shared" si="8"/>
        <v/>
      </c>
      <c r="AG41" s="1304" t="str">
        <f t="shared" si="8"/>
        <v/>
      </c>
      <c r="AH41" s="1304" t="str">
        <f t="shared" si="8"/>
        <v/>
      </c>
      <c r="AI41" s="1304">
        <f t="shared" si="8"/>
        <v>0</v>
      </c>
      <c r="AJ41" s="1304"/>
      <c r="AK41" s="1304"/>
      <c r="AL41" s="1304"/>
      <c r="AM41" s="1304"/>
      <c r="AN41" s="1304"/>
      <c r="AO41" s="1304"/>
      <c r="AP41" s="1304"/>
      <c r="AQ41" s="1304"/>
      <c r="AR41" s="1304"/>
      <c r="AS41" s="1304"/>
      <c r="AT41" s="1304"/>
      <c r="AU41" s="1304"/>
      <c r="AV41" s="1304"/>
      <c r="AW41" s="1304"/>
      <c r="AX41" s="1304"/>
      <c r="AY41" s="1304"/>
      <c r="AZ41" s="1304"/>
      <c r="BA41" s="1304"/>
      <c r="BB41" s="1304"/>
      <c r="BC41" s="1304"/>
      <c r="BD41" s="1304"/>
      <c r="BE41" s="1304"/>
      <c r="BF41" s="1304"/>
      <c r="BG41" s="1304"/>
      <c r="BH41" s="1304"/>
      <c r="BI41" s="1304"/>
      <c r="BJ41" s="1304"/>
      <c r="BK41" s="1304"/>
      <c r="BL41" s="1304"/>
      <c r="BM41" s="1304"/>
      <c r="BN41" s="1304"/>
      <c r="BO41" s="1304"/>
      <c r="BP41" s="1304"/>
      <c r="BQ41" s="1304"/>
      <c r="BR41" s="1304"/>
      <c r="BS41" s="1304"/>
      <c r="BT41" s="1304"/>
      <c r="BU41" s="1304"/>
      <c r="BV41" s="1304"/>
      <c r="BW41" s="1304"/>
      <c r="BX41" s="1304"/>
      <c r="BY41" s="1304"/>
      <c r="BZ41" s="1304"/>
      <c r="CA41" s="1304"/>
      <c r="CB41" s="1304"/>
      <c r="CC41" s="1304"/>
      <c r="CD41" s="1304"/>
      <c r="CE41" s="1304"/>
      <c r="CF41" s="1304"/>
      <c r="CG41" s="1304"/>
      <c r="CH41" s="1304"/>
      <c r="CI41" s="1304"/>
      <c r="CJ41" s="1304"/>
      <c r="CK41" s="1304"/>
      <c r="CL41" s="1304"/>
      <c r="CM41" s="1304"/>
      <c r="CN41" s="1304"/>
      <c r="CO41" s="1304"/>
      <c r="CP41" s="1304"/>
      <c r="CQ41" s="1304"/>
      <c r="CR41" s="1304"/>
      <c r="CS41" s="1305"/>
      <c r="CT41" s="1305"/>
      <c r="CU41" s="1305"/>
      <c r="CV41" s="1305"/>
      <c r="CW41" s="1305"/>
      <c r="CX41" s="1305"/>
      <c r="CY41" s="1305"/>
      <c r="CZ41" s="1305"/>
      <c r="DA41" s="29"/>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row>
    <row r="42" spans="1:256" s="23" customFormat="1" ht="11.25" customHeight="1" outlineLevel="1">
      <c r="A42" s="16">
        <v>200128</v>
      </c>
      <c r="B42" s="20" t="s">
        <v>199</v>
      </c>
      <c r="C42" s="20" t="s">
        <v>531</v>
      </c>
      <c r="D42" s="20" t="s">
        <v>1078</v>
      </c>
      <c r="E42" s="20" t="s">
        <v>203</v>
      </c>
      <c r="F42" s="21" t="s">
        <v>1419</v>
      </c>
      <c r="G42" s="21">
        <v>9</v>
      </c>
      <c r="H42" s="21">
        <v>35</v>
      </c>
      <c r="I42" s="21">
        <v>25</v>
      </c>
      <c r="J42" s="42">
        <v>69</v>
      </c>
      <c r="K42" s="21">
        <v>9</v>
      </c>
      <c r="L42" s="21">
        <v>35</v>
      </c>
      <c r="M42" s="21">
        <v>3</v>
      </c>
      <c r="N42" s="21">
        <v>22</v>
      </c>
      <c r="O42" s="21">
        <v>25</v>
      </c>
      <c r="P42" s="21">
        <v>0</v>
      </c>
      <c r="Q42" s="21"/>
      <c r="R42" s="20">
        <f t="shared" si="1"/>
        <v>69</v>
      </c>
      <c r="S42" s="22">
        <f t="shared" si="2"/>
        <v>200128</v>
      </c>
      <c r="T42" s="22">
        <f>COUNTIF($V$4:V42,V42)</f>
        <v>18</v>
      </c>
      <c r="U42" s="22" t="str">
        <f>IF(T42=1,COUNTIF($T$4:T42,1),"")</f>
        <v/>
      </c>
      <c r="V42" s="23" t="str">
        <f t="shared" si="3"/>
        <v>北区03認定こども園</v>
      </c>
      <c r="W42" s="23" t="str">
        <f t="shared" si="4"/>
        <v>認定こども園こころ篠路保育園</v>
      </c>
      <c r="X42" s="24">
        <v>38</v>
      </c>
      <c r="Y42" s="30" t="str">
        <f t="shared" si="7"/>
        <v/>
      </c>
      <c r="Z42" s="1304" t="str">
        <f t="shared" si="8"/>
        <v>風の子保育園</v>
      </c>
      <c r="AA42" s="1304" t="str">
        <f t="shared" si="8"/>
        <v>光星友愛認定こども園</v>
      </c>
      <c r="AB42" s="1304" t="str">
        <f t="shared" si="8"/>
        <v/>
      </c>
      <c r="AC42" s="1304" t="str">
        <f t="shared" si="8"/>
        <v/>
      </c>
      <c r="AD42" s="1304" t="str">
        <f t="shared" si="8"/>
        <v/>
      </c>
      <c r="AE42" s="1304" t="str">
        <f t="shared" si="8"/>
        <v/>
      </c>
      <c r="AF42" s="1304" t="str">
        <f t="shared" si="8"/>
        <v/>
      </c>
      <c r="AG42" s="1304" t="str">
        <f t="shared" si="8"/>
        <v/>
      </c>
      <c r="AH42" s="1304" t="str">
        <f t="shared" si="8"/>
        <v/>
      </c>
      <c r="AI42" s="1304">
        <f t="shared" si="8"/>
        <v>0</v>
      </c>
      <c r="AJ42" s="1304"/>
      <c r="AK42" s="1304"/>
      <c r="AL42" s="1304"/>
      <c r="AM42" s="1304"/>
      <c r="AN42" s="1304"/>
      <c r="AO42" s="1304"/>
      <c r="AP42" s="1304"/>
      <c r="AQ42" s="1304"/>
      <c r="AR42" s="1304"/>
      <c r="AS42" s="1304"/>
      <c r="AT42" s="1304"/>
      <c r="AU42" s="1304"/>
      <c r="AV42" s="1304"/>
      <c r="AW42" s="1304"/>
      <c r="AX42" s="1304"/>
      <c r="AY42" s="1304"/>
      <c r="AZ42" s="1304"/>
      <c r="BA42" s="1304"/>
      <c r="BB42" s="1304"/>
      <c r="BC42" s="1304"/>
      <c r="BD42" s="1304"/>
      <c r="BE42" s="1304"/>
      <c r="BF42" s="1304"/>
      <c r="BG42" s="1304"/>
      <c r="BH42" s="1304"/>
      <c r="BI42" s="1304"/>
      <c r="BJ42" s="1304"/>
      <c r="BK42" s="1304"/>
      <c r="BL42" s="1304"/>
      <c r="BM42" s="1304"/>
      <c r="BN42" s="1304"/>
      <c r="BO42" s="1304"/>
      <c r="BP42" s="1304"/>
      <c r="BQ42" s="1304"/>
      <c r="BR42" s="1304"/>
      <c r="BS42" s="1304"/>
      <c r="BT42" s="1304"/>
      <c r="BU42" s="1304"/>
      <c r="BV42" s="1304"/>
      <c r="BW42" s="1304"/>
      <c r="BX42" s="1304"/>
      <c r="BY42" s="1304"/>
      <c r="BZ42" s="1304"/>
      <c r="CA42" s="1304"/>
      <c r="CB42" s="1304"/>
      <c r="CC42" s="1304"/>
      <c r="CD42" s="1304"/>
      <c r="CE42" s="1304"/>
      <c r="CF42" s="1304"/>
      <c r="CG42" s="1304"/>
      <c r="CH42" s="1304"/>
      <c r="CI42" s="1304"/>
      <c r="CJ42" s="1304"/>
      <c r="CK42" s="1304"/>
      <c r="CL42" s="1304"/>
      <c r="CM42" s="1304"/>
      <c r="CN42" s="1304"/>
      <c r="CO42" s="1304"/>
      <c r="CP42" s="1304"/>
      <c r="CQ42" s="1304"/>
      <c r="CR42" s="1304"/>
      <c r="CS42" s="1305"/>
      <c r="CT42" s="1305"/>
      <c r="CU42" s="1305"/>
      <c r="CV42" s="1305"/>
      <c r="CW42" s="1305"/>
      <c r="CX42" s="1305"/>
      <c r="CY42" s="1305"/>
      <c r="CZ42" s="1305"/>
      <c r="DA42" s="29"/>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row>
    <row r="43" spans="1:256" s="23" customFormat="1" ht="11.25" customHeight="1" outlineLevel="1">
      <c r="A43" s="16">
        <v>200070</v>
      </c>
      <c r="B43" s="20" t="s">
        <v>199</v>
      </c>
      <c r="C43" s="20" t="s">
        <v>531</v>
      </c>
      <c r="D43" s="20" t="s">
        <v>1072</v>
      </c>
      <c r="E43" s="20" t="s">
        <v>203</v>
      </c>
      <c r="F43" s="21" t="s">
        <v>1550</v>
      </c>
      <c r="G43" s="21">
        <v>440</v>
      </c>
      <c r="H43" s="21">
        <v>20</v>
      </c>
      <c r="I43" s="21"/>
      <c r="J43" s="42">
        <v>460</v>
      </c>
      <c r="K43" s="21">
        <v>440</v>
      </c>
      <c r="L43" s="21">
        <v>20</v>
      </c>
      <c r="M43" s="21">
        <v>0</v>
      </c>
      <c r="N43" s="21">
        <v>0</v>
      </c>
      <c r="O43" s="21">
        <v>0</v>
      </c>
      <c r="P43" s="21">
        <v>0</v>
      </c>
      <c r="Q43" s="21"/>
      <c r="R43" s="20">
        <f t="shared" si="1"/>
        <v>460</v>
      </c>
      <c r="S43" s="22">
        <f t="shared" si="2"/>
        <v>200070</v>
      </c>
      <c r="T43" s="22">
        <f>COUNTIF($V$4:V43,V43)</f>
        <v>19</v>
      </c>
      <c r="U43" s="22" t="str">
        <f>IF(T43=1,COUNTIF($T$4:T43,1),"")</f>
        <v/>
      </c>
      <c r="V43" s="23" t="str">
        <f t="shared" si="3"/>
        <v>北区03認定こども園</v>
      </c>
      <c r="W43" s="23" t="str">
        <f t="shared" si="4"/>
        <v>認定こども園百合が原幼稚園</v>
      </c>
      <c r="X43" s="24">
        <v>39</v>
      </c>
      <c r="Y43" s="30" t="str">
        <f t="shared" si="7"/>
        <v/>
      </c>
      <c r="Z43" s="1304" t="str">
        <f t="shared" si="8"/>
        <v>新琴似中央保育園</v>
      </c>
      <c r="AA43" s="1304" t="str">
        <f t="shared" si="8"/>
        <v>認定こども園おひさまさっぽろ東保育園</v>
      </c>
      <c r="AB43" s="1304" t="str">
        <f t="shared" si="8"/>
        <v/>
      </c>
      <c r="AC43" s="1304" t="str">
        <f t="shared" si="8"/>
        <v/>
      </c>
      <c r="AD43" s="1304" t="str">
        <f t="shared" si="8"/>
        <v/>
      </c>
      <c r="AE43" s="1304" t="str">
        <f t="shared" si="8"/>
        <v/>
      </c>
      <c r="AF43" s="1304" t="str">
        <f t="shared" si="8"/>
        <v/>
      </c>
      <c r="AG43" s="1304" t="str">
        <f t="shared" si="8"/>
        <v/>
      </c>
      <c r="AH43" s="1304" t="str">
        <f t="shared" si="8"/>
        <v/>
      </c>
      <c r="AI43" s="1304">
        <f t="shared" si="8"/>
        <v>0</v>
      </c>
      <c r="AJ43" s="1304"/>
      <c r="AK43" s="1304"/>
      <c r="AL43" s="1304"/>
      <c r="AM43" s="1304"/>
      <c r="AN43" s="1304"/>
      <c r="AO43" s="1304"/>
      <c r="AP43" s="1304"/>
      <c r="AQ43" s="1304"/>
      <c r="AR43" s="1304"/>
      <c r="AS43" s="1304"/>
      <c r="AT43" s="1304"/>
      <c r="AU43" s="1304"/>
      <c r="AV43" s="1304"/>
      <c r="AW43" s="1304"/>
      <c r="AX43" s="1304"/>
      <c r="AY43" s="1304"/>
      <c r="AZ43" s="1304"/>
      <c r="BA43" s="1304"/>
      <c r="BB43" s="1304"/>
      <c r="BC43" s="1304"/>
      <c r="BD43" s="1304"/>
      <c r="BE43" s="1304"/>
      <c r="BF43" s="1304"/>
      <c r="BG43" s="1304"/>
      <c r="BH43" s="1304"/>
      <c r="BI43" s="1304"/>
      <c r="BJ43" s="1304"/>
      <c r="BK43" s="1304"/>
      <c r="BL43" s="1304"/>
      <c r="BM43" s="1304"/>
      <c r="BN43" s="1304"/>
      <c r="BO43" s="1304"/>
      <c r="BP43" s="1304"/>
      <c r="BQ43" s="1304"/>
      <c r="BR43" s="1304"/>
      <c r="BS43" s="1304"/>
      <c r="BT43" s="1304"/>
      <c r="BU43" s="1304"/>
      <c r="BV43" s="1304"/>
      <c r="BW43" s="1304"/>
      <c r="BX43" s="1304"/>
      <c r="BY43" s="1304"/>
      <c r="BZ43" s="1304"/>
      <c r="CA43" s="1304"/>
      <c r="CB43" s="1304"/>
      <c r="CC43" s="1304"/>
      <c r="CD43" s="1304"/>
      <c r="CE43" s="1304"/>
      <c r="CF43" s="1304"/>
      <c r="CG43" s="1304"/>
      <c r="CH43" s="1304"/>
      <c r="CI43" s="1304"/>
      <c r="CJ43" s="1304"/>
      <c r="CK43" s="1304"/>
      <c r="CL43" s="1304"/>
      <c r="CM43" s="1304"/>
      <c r="CN43" s="1304"/>
      <c r="CO43" s="1304"/>
      <c r="CP43" s="1304"/>
      <c r="CQ43" s="1304"/>
      <c r="CR43" s="1304"/>
      <c r="CS43" s="1305"/>
      <c r="CT43" s="1305"/>
      <c r="CU43" s="1305"/>
      <c r="CV43" s="1305"/>
      <c r="CW43" s="1305"/>
      <c r="CX43" s="1305"/>
      <c r="CY43" s="1305"/>
      <c r="CZ43" s="1305"/>
      <c r="DA43" s="29"/>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row>
    <row r="44" spans="1:256" s="23" customFormat="1" ht="11.25" customHeight="1" outlineLevel="1">
      <c r="A44" s="16">
        <v>200086</v>
      </c>
      <c r="B44" s="20" t="s">
        <v>199</v>
      </c>
      <c r="C44" s="20" t="s">
        <v>531</v>
      </c>
      <c r="D44" s="20" t="s">
        <v>1072</v>
      </c>
      <c r="E44" s="20" t="s">
        <v>203</v>
      </c>
      <c r="F44" s="21" t="s">
        <v>1088</v>
      </c>
      <c r="G44" s="21">
        <v>330</v>
      </c>
      <c r="H44" s="21">
        <v>20</v>
      </c>
      <c r="I44" s="21">
        <v>0</v>
      </c>
      <c r="J44" s="42">
        <v>350</v>
      </c>
      <c r="K44" s="21">
        <v>280</v>
      </c>
      <c r="L44" s="21">
        <v>20</v>
      </c>
      <c r="M44" s="21">
        <v>0</v>
      </c>
      <c r="N44" s="21">
        <v>0</v>
      </c>
      <c r="O44" s="21">
        <v>0</v>
      </c>
      <c r="P44" s="21">
        <v>0</v>
      </c>
      <c r="Q44" s="21"/>
      <c r="R44" s="20">
        <f t="shared" si="1"/>
        <v>300</v>
      </c>
      <c r="S44" s="22">
        <f t="shared" si="2"/>
        <v>200086</v>
      </c>
      <c r="T44" s="22">
        <f>COUNTIF($V$4:V44,V44)</f>
        <v>20</v>
      </c>
      <c r="U44" s="22" t="str">
        <f>IF(T44=1,COUNTIF($T$4:T44,1),"")</f>
        <v/>
      </c>
      <c r="V44" s="23" t="str">
        <f t="shared" si="3"/>
        <v>北区03認定こども園</v>
      </c>
      <c r="W44" s="23" t="str">
        <f t="shared" si="4"/>
        <v>認定こども園札幌北幼稚園</v>
      </c>
      <c r="X44" s="24">
        <v>40</v>
      </c>
      <c r="Y44" s="30" t="str">
        <f t="shared" si="7"/>
        <v/>
      </c>
      <c r="Z44" s="1304" t="str">
        <f t="shared" si="8"/>
        <v>屯田桃の花こども園</v>
      </c>
      <c r="AA44" s="1304" t="str">
        <f t="shared" si="8"/>
        <v>まことさつなえこども園</v>
      </c>
      <c r="AB44" s="1304" t="str">
        <f t="shared" si="8"/>
        <v/>
      </c>
      <c r="AC44" s="1304" t="str">
        <f t="shared" si="8"/>
        <v/>
      </c>
      <c r="AD44" s="1304" t="str">
        <f t="shared" si="8"/>
        <v/>
      </c>
      <c r="AE44" s="1304" t="str">
        <f t="shared" si="8"/>
        <v/>
      </c>
      <c r="AF44" s="1304" t="str">
        <f t="shared" si="8"/>
        <v/>
      </c>
      <c r="AG44" s="1304" t="str">
        <f t="shared" si="8"/>
        <v/>
      </c>
      <c r="AH44" s="1304" t="str">
        <f t="shared" si="8"/>
        <v/>
      </c>
      <c r="AI44" s="1304">
        <f t="shared" si="8"/>
        <v>0</v>
      </c>
      <c r="AJ44" s="1304"/>
      <c r="AK44" s="1304"/>
      <c r="AL44" s="1304"/>
      <c r="AM44" s="1304"/>
      <c r="AN44" s="1304"/>
      <c r="AO44" s="1304"/>
      <c r="AP44" s="1304"/>
      <c r="AQ44" s="1304"/>
      <c r="AR44" s="1304"/>
      <c r="AS44" s="1304"/>
      <c r="AT44" s="1304"/>
      <c r="AU44" s="1304"/>
      <c r="AV44" s="1304"/>
      <c r="AW44" s="1304"/>
      <c r="AX44" s="1304"/>
      <c r="AY44" s="1304"/>
      <c r="AZ44" s="1304"/>
      <c r="BA44" s="1304"/>
      <c r="BB44" s="1304"/>
      <c r="BC44" s="1304"/>
      <c r="BD44" s="1304"/>
      <c r="BE44" s="1304"/>
      <c r="BF44" s="1304"/>
      <c r="BG44" s="1304"/>
      <c r="BH44" s="1304"/>
      <c r="BI44" s="1304"/>
      <c r="BJ44" s="1304"/>
      <c r="BK44" s="1304"/>
      <c r="BL44" s="1304"/>
      <c r="BM44" s="1304"/>
      <c r="BN44" s="1304"/>
      <c r="BO44" s="1304"/>
      <c r="BP44" s="1304"/>
      <c r="BQ44" s="1304"/>
      <c r="BR44" s="1304"/>
      <c r="BS44" s="1304"/>
      <c r="BT44" s="1304"/>
      <c r="BU44" s="1304"/>
      <c r="BV44" s="1304"/>
      <c r="BW44" s="1304"/>
      <c r="BX44" s="1304"/>
      <c r="BY44" s="1304"/>
      <c r="BZ44" s="1304"/>
      <c r="CA44" s="1304"/>
      <c r="CB44" s="1304"/>
      <c r="CC44" s="1304"/>
      <c r="CD44" s="1304"/>
      <c r="CE44" s="1304"/>
      <c r="CF44" s="1304"/>
      <c r="CG44" s="1304"/>
      <c r="CH44" s="1304"/>
      <c r="CI44" s="1304"/>
      <c r="CJ44" s="1304"/>
      <c r="CK44" s="1304"/>
      <c r="CL44" s="1304"/>
      <c r="CM44" s="1304"/>
      <c r="CN44" s="1304"/>
      <c r="CO44" s="1304"/>
      <c r="CP44" s="1304"/>
      <c r="CQ44" s="1304"/>
      <c r="CR44" s="1304"/>
      <c r="CS44" s="1305"/>
      <c r="CT44" s="1305"/>
      <c r="CU44" s="1305"/>
      <c r="CV44" s="1305"/>
      <c r="CW44" s="1305"/>
      <c r="CX44" s="1305"/>
      <c r="CY44" s="1305"/>
      <c r="CZ44" s="1305"/>
      <c r="DA44" s="29"/>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row>
    <row r="45" spans="1:256" s="23" customFormat="1" ht="11.25" customHeight="1" outlineLevel="1">
      <c r="A45" s="16">
        <v>200087</v>
      </c>
      <c r="B45" s="20" t="s">
        <v>199</v>
      </c>
      <c r="C45" s="20" t="s">
        <v>531</v>
      </c>
      <c r="D45" s="20" t="s">
        <v>1072</v>
      </c>
      <c r="E45" s="20" t="s">
        <v>203</v>
      </c>
      <c r="F45" s="21" t="s">
        <v>1551</v>
      </c>
      <c r="G45" s="21">
        <v>160</v>
      </c>
      <c r="H45" s="21">
        <v>20</v>
      </c>
      <c r="I45" s="21"/>
      <c r="J45" s="42">
        <v>180</v>
      </c>
      <c r="K45" s="21">
        <v>130</v>
      </c>
      <c r="L45" s="21">
        <v>20</v>
      </c>
      <c r="M45" s="21">
        <v>0</v>
      </c>
      <c r="N45" s="21">
        <v>0</v>
      </c>
      <c r="O45" s="21">
        <v>0</v>
      </c>
      <c r="P45" s="21">
        <v>0</v>
      </c>
      <c r="Q45" s="21"/>
      <c r="R45" s="20">
        <f t="shared" si="1"/>
        <v>150</v>
      </c>
      <c r="S45" s="22">
        <f t="shared" si="2"/>
        <v>200087</v>
      </c>
      <c r="T45" s="22">
        <f>COUNTIF($V$4:V45,V45)</f>
        <v>21</v>
      </c>
      <c r="U45" s="22" t="str">
        <f>IF(T45=1,COUNTIF($T$4:T45,1),"")</f>
        <v/>
      </c>
      <c r="V45" s="23" t="str">
        <f t="shared" si="3"/>
        <v>北区03認定こども園</v>
      </c>
      <c r="W45" s="23" t="str">
        <f t="shared" si="4"/>
        <v>そうせい幼稚園</v>
      </c>
      <c r="X45" s="24">
        <v>41</v>
      </c>
      <c r="Y45" s="30" t="str">
        <f t="shared" si="7"/>
        <v/>
      </c>
      <c r="Z45" s="1304" t="str">
        <f t="shared" si="8"/>
        <v>認定こども園あいの里せせらぎ保育園</v>
      </c>
      <c r="AA45" s="1304" t="str">
        <f t="shared" si="8"/>
        <v>まことさっぽろこども園</v>
      </c>
      <c r="AB45" s="1304" t="str">
        <f t="shared" si="8"/>
        <v/>
      </c>
      <c r="AC45" s="1304" t="str">
        <f t="shared" si="8"/>
        <v/>
      </c>
      <c r="AD45" s="1304" t="str">
        <f t="shared" si="8"/>
        <v/>
      </c>
      <c r="AE45" s="1304" t="str">
        <f t="shared" si="8"/>
        <v/>
      </c>
      <c r="AF45" s="1304" t="str">
        <f t="shared" si="8"/>
        <v/>
      </c>
      <c r="AG45" s="1304" t="str">
        <f t="shared" si="8"/>
        <v/>
      </c>
      <c r="AH45" s="1304" t="str">
        <f t="shared" si="8"/>
        <v/>
      </c>
      <c r="AI45" s="1304">
        <f t="shared" si="8"/>
        <v>0</v>
      </c>
      <c r="AJ45" s="1304"/>
      <c r="AK45" s="1304"/>
      <c r="AL45" s="1304"/>
      <c r="AM45" s="1304"/>
      <c r="AN45" s="1304"/>
      <c r="AO45" s="1304"/>
      <c r="AP45" s="1304"/>
      <c r="AQ45" s="1304"/>
      <c r="AR45" s="1304"/>
      <c r="AS45" s="1304"/>
      <c r="AT45" s="1304"/>
      <c r="AU45" s="1304"/>
      <c r="AV45" s="1304"/>
      <c r="AW45" s="1304"/>
      <c r="AX45" s="1304"/>
      <c r="AY45" s="1304"/>
      <c r="AZ45" s="1304"/>
      <c r="BA45" s="1304"/>
      <c r="BB45" s="1304"/>
      <c r="BC45" s="1304"/>
      <c r="BD45" s="1304"/>
      <c r="BE45" s="1304"/>
      <c r="BF45" s="1304"/>
      <c r="BG45" s="1304"/>
      <c r="BH45" s="1304"/>
      <c r="BI45" s="1304"/>
      <c r="BJ45" s="1304"/>
      <c r="BK45" s="1304"/>
      <c r="BL45" s="1304"/>
      <c r="BM45" s="1304"/>
      <c r="BN45" s="1304"/>
      <c r="BO45" s="1304"/>
      <c r="BP45" s="1304"/>
      <c r="BQ45" s="1304"/>
      <c r="BR45" s="1304"/>
      <c r="BS45" s="1304"/>
      <c r="BT45" s="1304"/>
      <c r="BU45" s="1304"/>
      <c r="BV45" s="1304"/>
      <c r="BW45" s="1304"/>
      <c r="BX45" s="1304"/>
      <c r="BY45" s="1304"/>
      <c r="BZ45" s="1304"/>
      <c r="CA45" s="1304"/>
      <c r="CB45" s="1304"/>
      <c r="CC45" s="1304"/>
      <c r="CD45" s="1304"/>
      <c r="CE45" s="1304"/>
      <c r="CF45" s="1304"/>
      <c r="CG45" s="1304"/>
      <c r="CH45" s="1304"/>
      <c r="CI45" s="1304"/>
      <c r="CJ45" s="1304"/>
      <c r="CK45" s="1304"/>
      <c r="CL45" s="1304"/>
      <c r="CM45" s="1304"/>
      <c r="CN45" s="1304"/>
      <c r="CO45" s="1304"/>
      <c r="CP45" s="1304"/>
      <c r="CQ45" s="1304"/>
      <c r="CR45" s="1304"/>
      <c r="CS45" s="1305"/>
      <c r="CT45" s="1305"/>
      <c r="CU45" s="1305"/>
      <c r="CV45" s="1305"/>
      <c r="CW45" s="1305"/>
      <c r="CX45" s="1305"/>
      <c r="CY45" s="1305"/>
      <c r="CZ45" s="1305"/>
      <c r="DA45" s="29"/>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row>
    <row r="46" spans="1:256" ht="11.25" customHeight="1" outlineLevel="1">
      <c r="A46" s="16">
        <v>200089</v>
      </c>
      <c r="B46" s="20" t="s">
        <v>199</v>
      </c>
      <c r="C46" s="20" t="s">
        <v>531</v>
      </c>
      <c r="D46" s="20" t="s">
        <v>1072</v>
      </c>
      <c r="E46" s="20" t="s">
        <v>203</v>
      </c>
      <c r="F46" s="21" t="s">
        <v>1089</v>
      </c>
      <c r="G46" s="21">
        <v>230</v>
      </c>
      <c r="H46" s="21">
        <v>30</v>
      </c>
      <c r="I46" s="21">
        <v>0</v>
      </c>
      <c r="J46" s="42">
        <v>260</v>
      </c>
      <c r="K46" s="21">
        <v>230</v>
      </c>
      <c r="L46" s="21">
        <v>30</v>
      </c>
      <c r="M46" s="21">
        <v>0</v>
      </c>
      <c r="N46" s="21">
        <v>0</v>
      </c>
      <c r="O46" s="21">
        <v>0</v>
      </c>
      <c r="P46" s="21">
        <v>0</v>
      </c>
      <c r="Q46" s="47"/>
      <c r="R46" s="20">
        <f t="shared" si="1"/>
        <v>260</v>
      </c>
      <c r="S46" s="22">
        <f t="shared" si="2"/>
        <v>200089</v>
      </c>
      <c r="T46" s="22">
        <f>COUNTIF($V$4:V46,V46)</f>
        <v>22</v>
      </c>
      <c r="U46" s="22" t="str">
        <f>IF(T46=1,COUNTIF($T$4:T46,1),"")</f>
        <v/>
      </c>
      <c r="V46" s="23" t="str">
        <f t="shared" si="3"/>
        <v>北区03認定こども園</v>
      </c>
      <c r="W46" s="23" t="str">
        <f t="shared" si="4"/>
        <v>認定こども園新琴似幼稚園</v>
      </c>
      <c r="X46" s="24">
        <v>42</v>
      </c>
      <c r="Y46" s="30" t="str">
        <f t="shared" si="7"/>
        <v/>
      </c>
      <c r="Z46" s="1304" t="str">
        <f t="shared" si="8"/>
        <v>札幌未来保育園</v>
      </c>
      <c r="AA46" s="1304" t="str">
        <f t="shared" si="8"/>
        <v>認定こども園かすたねっと</v>
      </c>
      <c r="AB46" s="1304" t="str">
        <f t="shared" si="8"/>
        <v/>
      </c>
      <c r="AC46" s="1304" t="str">
        <f t="shared" si="8"/>
        <v/>
      </c>
      <c r="AD46" s="1304" t="str">
        <f t="shared" si="8"/>
        <v/>
      </c>
      <c r="AE46" s="1304" t="str">
        <f t="shared" si="8"/>
        <v/>
      </c>
      <c r="AF46" s="1304" t="str">
        <f t="shared" si="8"/>
        <v/>
      </c>
      <c r="AG46" s="1304" t="str">
        <f t="shared" si="8"/>
        <v/>
      </c>
      <c r="AH46" s="1304" t="str">
        <f t="shared" si="8"/>
        <v/>
      </c>
      <c r="AI46" s="1304">
        <f t="shared" si="8"/>
        <v>0</v>
      </c>
      <c r="AJ46" s="1304"/>
      <c r="AK46" s="1304"/>
      <c r="AL46" s="1304"/>
      <c r="AM46" s="1304"/>
      <c r="AN46" s="1304"/>
      <c r="AO46" s="1304"/>
      <c r="AP46" s="1304"/>
      <c r="AQ46" s="1304"/>
      <c r="AR46" s="1304"/>
      <c r="AS46" s="1304"/>
      <c r="AT46" s="1304"/>
      <c r="AU46" s="1304"/>
      <c r="AV46" s="1304"/>
      <c r="AW46" s="1304"/>
      <c r="AX46" s="1304"/>
      <c r="AY46" s="1304"/>
      <c r="AZ46" s="1304"/>
      <c r="BA46" s="1304"/>
      <c r="BB46" s="1304"/>
      <c r="BC46" s="1304"/>
      <c r="BD46" s="1304"/>
      <c r="BE46" s="1304"/>
      <c r="BF46" s="1304"/>
      <c r="BG46" s="1304"/>
      <c r="BH46" s="1304"/>
      <c r="BI46" s="1304"/>
      <c r="BJ46" s="1304"/>
      <c r="BK46" s="1304"/>
      <c r="BL46" s="1304"/>
      <c r="BM46" s="1304"/>
      <c r="BN46" s="1304"/>
      <c r="BO46" s="1304"/>
      <c r="BP46" s="1304"/>
      <c r="BQ46" s="1304"/>
      <c r="BR46" s="1304"/>
      <c r="BS46" s="1304"/>
      <c r="BT46" s="1304"/>
      <c r="BU46" s="1304"/>
      <c r="BV46" s="1304"/>
      <c r="BW46" s="1304"/>
      <c r="BX46" s="1304"/>
      <c r="BY46" s="1304"/>
      <c r="BZ46" s="1304"/>
      <c r="CA46" s="1304"/>
      <c r="CB46" s="1304"/>
      <c r="CC46" s="1304"/>
      <c r="CD46" s="1304"/>
      <c r="CE46" s="1304"/>
      <c r="CF46" s="1304"/>
      <c r="CG46" s="1304"/>
      <c r="CH46" s="1304"/>
      <c r="CI46" s="1304"/>
      <c r="CJ46" s="1304"/>
      <c r="CK46" s="1304"/>
      <c r="CL46" s="1304"/>
      <c r="CM46" s="1304"/>
      <c r="CN46" s="1304"/>
      <c r="CO46" s="1304"/>
      <c r="CP46" s="1304"/>
      <c r="CQ46" s="1304"/>
      <c r="CR46" s="1304"/>
      <c r="CS46" s="1305"/>
      <c r="CT46" s="1305"/>
      <c r="CU46" s="1305"/>
      <c r="CV46" s="1305"/>
      <c r="CW46" s="1305"/>
      <c r="CX46" s="1305"/>
      <c r="CY46" s="1305"/>
      <c r="CZ46" s="1305"/>
      <c r="DA46" s="29"/>
    </row>
    <row r="47" spans="1:256" s="32" customFormat="1" ht="11.25" customHeight="1" outlineLevel="1">
      <c r="A47" s="16">
        <v>200094</v>
      </c>
      <c r="B47" s="20" t="s">
        <v>199</v>
      </c>
      <c r="C47" s="20" t="s">
        <v>531</v>
      </c>
      <c r="D47" s="20" t="s">
        <v>1072</v>
      </c>
      <c r="E47" s="20" t="s">
        <v>203</v>
      </c>
      <c r="F47" s="21" t="s">
        <v>1090</v>
      </c>
      <c r="G47" s="21">
        <v>150</v>
      </c>
      <c r="H47" s="21">
        <v>20</v>
      </c>
      <c r="I47" s="21">
        <v>0</v>
      </c>
      <c r="J47" s="42">
        <v>170</v>
      </c>
      <c r="K47" s="21">
        <v>100</v>
      </c>
      <c r="L47" s="21">
        <v>20</v>
      </c>
      <c r="M47" s="21">
        <v>0</v>
      </c>
      <c r="N47" s="21">
        <v>0</v>
      </c>
      <c r="O47" s="21">
        <v>0</v>
      </c>
      <c r="P47" s="21">
        <v>0</v>
      </c>
      <c r="Q47" s="21"/>
      <c r="R47" s="20">
        <f t="shared" si="1"/>
        <v>120</v>
      </c>
      <c r="S47" s="22">
        <f t="shared" si="2"/>
        <v>200094</v>
      </c>
      <c r="T47" s="22">
        <f>COUNTIF($V$4:V47,V47)</f>
        <v>23</v>
      </c>
      <c r="U47" s="22" t="str">
        <f>IF(T47=1,COUNTIF($T$4:T47,1),"")</f>
        <v/>
      </c>
      <c r="V47" s="23" t="str">
        <f t="shared" si="3"/>
        <v>北区03認定こども園</v>
      </c>
      <c r="W47" s="23" t="str">
        <f t="shared" si="4"/>
        <v>認定こども園つよし幼稚園</v>
      </c>
      <c r="X47" s="24">
        <v>43</v>
      </c>
      <c r="Y47" s="30" t="str">
        <f t="shared" si="7"/>
        <v/>
      </c>
      <c r="Z47" s="1304" t="str">
        <f t="shared" si="8"/>
        <v>エンジェル保育園</v>
      </c>
      <c r="AA47" s="1304" t="str">
        <f t="shared" si="8"/>
        <v/>
      </c>
      <c r="AB47" s="1304" t="str">
        <f t="shared" si="8"/>
        <v/>
      </c>
      <c r="AC47" s="1304" t="str">
        <f t="shared" si="8"/>
        <v/>
      </c>
      <c r="AD47" s="1304" t="str">
        <f t="shared" si="8"/>
        <v/>
      </c>
      <c r="AE47" s="1304" t="str">
        <f t="shared" si="8"/>
        <v/>
      </c>
      <c r="AF47" s="1304" t="str">
        <f t="shared" si="8"/>
        <v/>
      </c>
      <c r="AG47" s="1304" t="str">
        <f t="shared" si="8"/>
        <v/>
      </c>
      <c r="AH47" s="1304" t="str">
        <f t="shared" si="8"/>
        <v/>
      </c>
      <c r="AI47" s="1304">
        <f t="shared" si="8"/>
        <v>0</v>
      </c>
      <c r="AJ47" s="1304"/>
      <c r="AK47" s="1304"/>
      <c r="AL47" s="1304"/>
      <c r="AM47" s="1304"/>
      <c r="AN47" s="1304"/>
      <c r="AO47" s="1304"/>
      <c r="AP47" s="1304"/>
      <c r="AQ47" s="1304"/>
      <c r="AR47" s="1304"/>
      <c r="AS47" s="1304"/>
      <c r="AT47" s="1304"/>
      <c r="AU47" s="1304"/>
      <c r="AV47" s="1304"/>
      <c r="AW47" s="1304"/>
      <c r="AX47" s="1304"/>
      <c r="AY47" s="1304"/>
      <c r="AZ47" s="1304"/>
      <c r="BA47" s="1304"/>
      <c r="BB47" s="1304"/>
      <c r="BC47" s="1304"/>
      <c r="BD47" s="1304"/>
      <c r="BE47" s="1304"/>
      <c r="BF47" s="1304"/>
      <c r="BG47" s="1304"/>
      <c r="BH47" s="1304"/>
      <c r="BI47" s="1304"/>
      <c r="BJ47" s="1304"/>
      <c r="BK47" s="1304"/>
      <c r="BL47" s="1304"/>
      <c r="BM47" s="1304"/>
      <c r="BN47" s="1304"/>
      <c r="BO47" s="1304"/>
      <c r="BP47" s="1304"/>
      <c r="BQ47" s="1304"/>
      <c r="BR47" s="1304"/>
      <c r="BS47" s="1304"/>
      <c r="BT47" s="1304"/>
      <c r="BU47" s="1304"/>
      <c r="BV47" s="1304"/>
      <c r="BW47" s="1304"/>
      <c r="BX47" s="1304"/>
      <c r="BY47" s="1304"/>
      <c r="BZ47" s="1304"/>
      <c r="CA47" s="1304"/>
      <c r="CB47" s="1304"/>
      <c r="CC47" s="1304"/>
      <c r="CD47" s="1304"/>
      <c r="CE47" s="1304"/>
      <c r="CF47" s="1304"/>
      <c r="CG47" s="1304"/>
      <c r="CH47" s="1304"/>
      <c r="CI47" s="1304"/>
      <c r="CJ47" s="1304"/>
      <c r="CK47" s="1304"/>
      <c r="CL47" s="1304"/>
      <c r="CM47" s="1304"/>
      <c r="CN47" s="1304"/>
      <c r="CO47" s="1304"/>
      <c r="CP47" s="1304"/>
      <c r="CQ47" s="1304"/>
      <c r="CR47" s="1304"/>
      <c r="CS47" s="1305"/>
      <c r="CT47" s="1305"/>
      <c r="CU47" s="1305"/>
      <c r="CV47" s="1305"/>
      <c r="CW47" s="1305"/>
      <c r="CX47" s="1305"/>
      <c r="CY47" s="1305"/>
      <c r="CZ47" s="1305"/>
      <c r="DA47" s="29"/>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row>
    <row r="48" spans="1:256" ht="11.25" customHeight="1" outlineLevel="1">
      <c r="A48" s="16">
        <v>200096</v>
      </c>
      <c r="B48" s="20" t="s">
        <v>199</v>
      </c>
      <c r="C48" s="20" t="s">
        <v>531</v>
      </c>
      <c r="D48" s="20" t="s">
        <v>1646</v>
      </c>
      <c r="E48" s="20" t="s">
        <v>203</v>
      </c>
      <c r="F48" s="21" t="s">
        <v>1647</v>
      </c>
      <c r="G48" s="21">
        <v>131</v>
      </c>
      <c r="H48" s="21">
        <v>9</v>
      </c>
      <c r="I48" s="21">
        <v>0</v>
      </c>
      <c r="J48" s="42">
        <v>140</v>
      </c>
      <c r="K48" s="21">
        <v>66</v>
      </c>
      <c r="L48" s="21">
        <v>9</v>
      </c>
      <c r="M48" s="21">
        <v>0</v>
      </c>
      <c r="N48" s="21">
        <v>0</v>
      </c>
      <c r="O48" s="21">
        <v>0</v>
      </c>
      <c r="P48" s="21">
        <v>0</v>
      </c>
      <c r="Q48" s="21"/>
      <c r="R48" s="20">
        <f t="shared" si="1"/>
        <v>75</v>
      </c>
      <c r="S48" s="22">
        <f t="shared" si="2"/>
        <v>200096</v>
      </c>
      <c r="T48" s="22">
        <f>COUNTIF($V$4:V48,V48)</f>
        <v>24</v>
      </c>
      <c r="U48" s="22" t="str">
        <f>IF(T48=1,COUNTIF($T$4:T48,1),"")</f>
        <v/>
      </c>
      <c r="V48" s="23" t="str">
        <f t="shared" si="3"/>
        <v>北区03認定こども園</v>
      </c>
      <c r="W48" s="23" t="str">
        <f t="shared" si="4"/>
        <v>認定こども園藤幼稚園</v>
      </c>
      <c r="X48" s="24">
        <v>44</v>
      </c>
      <c r="Y48" s="30" t="str">
        <f t="shared" si="7"/>
        <v/>
      </c>
      <c r="Z48" s="1304" t="str">
        <f t="shared" si="8"/>
        <v>きずな麻生保育園</v>
      </c>
      <c r="AA48" s="1304" t="str">
        <f t="shared" si="8"/>
        <v/>
      </c>
      <c r="AB48" s="1304" t="str">
        <f t="shared" si="8"/>
        <v/>
      </c>
      <c r="AC48" s="1304" t="str">
        <f t="shared" si="8"/>
        <v/>
      </c>
      <c r="AD48" s="1304" t="str">
        <f t="shared" si="8"/>
        <v/>
      </c>
      <c r="AE48" s="1304" t="str">
        <f t="shared" si="8"/>
        <v/>
      </c>
      <c r="AF48" s="1304" t="str">
        <f t="shared" si="8"/>
        <v/>
      </c>
      <c r="AG48" s="1304" t="str">
        <f t="shared" si="8"/>
        <v/>
      </c>
      <c r="AH48" s="1304" t="str">
        <f t="shared" si="8"/>
        <v/>
      </c>
      <c r="AI48" s="1304">
        <f t="shared" si="8"/>
        <v>0</v>
      </c>
      <c r="AJ48" s="1304"/>
      <c r="AK48" s="1304"/>
      <c r="AL48" s="1304"/>
      <c r="AM48" s="1304"/>
      <c r="AN48" s="1304"/>
      <c r="AO48" s="1304"/>
      <c r="AP48" s="1304"/>
      <c r="AQ48" s="1304"/>
      <c r="AR48" s="1304"/>
      <c r="AS48" s="1304"/>
      <c r="AT48" s="1304"/>
      <c r="AU48" s="1304"/>
      <c r="AV48" s="1304"/>
      <c r="AW48" s="1304"/>
      <c r="AX48" s="1304"/>
      <c r="AY48" s="1304"/>
      <c r="AZ48" s="1304"/>
      <c r="BA48" s="1304"/>
      <c r="BB48" s="1304"/>
      <c r="BC48" s="1304"/>
      <c r="BD48" s="1304"/>
      <c r="BE48" s="1304"/>
      <c r="BF48" s="1304"/>
      <c r="BG48" s="1304"/>
      <c r="BH48" s="1304"/>
      <c r="BI48" s="1304"/>
      <c r="BJ48" s="1304"/>
      <c r="BK48" s="1304"/>
      <c r="BL48" s="1304"/>
      <c r="BM48" s="1304"/>
      <c r="BN48" s="1304"/>
      <c r="BO48" s="1304"/>
      <c r="BP48" s="1304"/>
      <c r="BQ48" s="1304"/>
      <c r="BR48" s="1304"/>
      <c r="BS48" s="1304"/>
      <c r="BT48" s="1304"/>
      <c r="BU48" s="1304"/>
      <c r="BV48" s="1304"/>
      <c r="BW48" s="1304"/>
      <c r="BX48" s="1304"/>
      <c r="BY48" s="1304"/>
      <c r="BZ48" s="1304"/>
      <c r="CA48" s="1304"/>
      <c r="CB48" s="1304"/>
      <c r="CC48" s="1304"/>
      <c r="CD48" s="1304"/>
      <c r="CE48" s="1304"/>
      <c r="CF48" s="1304"/>
      <c r="CG48" s="1304"/>
      <c r="CH48" s="1304"/>
      <c r="CI48" s="1304"/>
      <c r="CJ48" s="1304"/>
      <c r="CK48" s="1304"/>
      <c r="CL48" s="1304"/>
      <c r="CM48" s="1304"/>
      <c r="CN48" s="1304"/>
      <c r="CO48" s="1304"/>
      <c r="CP48" s="1304"/>
      <c r="CQ48" s="1304"/>
      <c r="CR48" s="1304"/>
      <c r="CS48" s="1305"/>
      <c r="CT48" s="1305"/>
      <c r="CU48" s="1305"/>
      <c r="CV48" s="1305"/>
      <c r="CW48" s="1305"/>
      <c r="CX48" s="1305"/>
      <c r="CY48" s="1305"/>
      <c r="CZ48" s="1305"/>
      <c r="DA48" s="29"/>
    </row>
    <row r="49" spans="1:105" ht="11.25" customHeight="1" outlineLevel="1">
      <c r="A49" s="16">
        <v>200012</v>
      </c>
      <c r="B49" s="20" t="s">
        <v>199</v>
      </c>
      <c r="C49" s="20" t="s">
        <v>531</v>
      </c>
      <c r="D49" s="20" t="s">
        <v>1067</v>
      </c>
      <c r="E49" s="20" t="s">
        <v>203</v>
      </c>
      <c r="F49" s="21" t="s">
        <v>1420</v>
      </c>
      <c r="G49" s="21">
        <v>15</v>
      </c>
      <c r="H49" s="21">
        <v>66</v>
      </c>
      <c r="I49" s="21">
        <v>54</v>
      </c>
      <c r="J49" s="42">
        <v>135</v>
      </c>
      <c r="K49" s="21">
        <v>15</v>
      </c>
      <c r="L49" s="21">
        <v>66</v>
      </c>
      <c r="M49" s="21">
        <v>12</v>
      </c>
      <c r="N49" s="21">
        <v>42</v>
      </c>
      <c r="O49" s="21">
        <v>54</v>
      </c>
      <c r="P49" s="21">
        <v>0</v>
      </c>
      <c r="Q49" s="21"/>
      <c r="R49" s="20">
        <f t="shared" si="1"/>
        <v>135</v>
      </c>
      <c r="S49" s="22">
        <f t="shared" si="2"/>
        <v>200012</v>
      </c>
      <c r="T49" s="22">
        <f>COUNTIF($V$4:V49,V49)</f>
        <v>25</v>
      </c>
      <c r="U49" s="22" t="str">
        <f>IF(T49=1,COUNTIF($T$4:T49,1),"")</f>
        <v/>
      </c>
      <c r="V49" s="23" t="str">
        <f t="shared" si="3"/>
        <v>北区03認定こども園</v>
      </c>
      <c r="W49" s="23" t="str">
        <f t="shared" si="4"/>
        <v>麻生保育園</v>
      </c>
      <c r="X49" s="24">
        <v>45</v>
      </c>
      <c r="Y49" s="30" t="str">
        <f t="shared" si="7"/>
        <v/>
      </c>
      <c r="Z49" s="1304" t="str">
        <f t="shared" si="8"/>
        <v>認定こども園しずく保育園</v>
      </c>
      <c r="AA49" s="1304" t="str">
        <f t="shared" si="8"/>
        <v/>
      </c>
      <c r="AB49" s="1304" t="str">
        <f t="shared" si="8"/>
        <v/>
      </c>
      <c r="AC49" s="1304" t="str">
        <f t="shared" si="8"/>
        <v/>
      </c>
      <c r="AD49" s="1304" t="str">
        <f t="shared" si="8"/>
        <v/>
      </c>
      <c r="AE49" s="1304" t="str">
        <f t="shared" si="8"/>
        <v/>
      </c>
      <c r="AF49" s="1304" t="str">
        <f t="shared" si="8"/>
        <v/>
      </c>
      <c r="AG49" s="1304" t="str">
        <f t="shared" si="8"/>
        <v/>
      </c>
      <c r="AH49" s="1304" t="str">
        <f t="shared" si="8"/>
        <v/>
      </c>
      <c r="AI49" s="1304">
        <f t="shared" si="8"/>
        <v>0</v>
      </c>
      <c r="AJ49" s="1304"/>
      <c r="AK49" s="1304"/>
      <c r="AL49" s="1304"/>
      <c r="AM49" s="1304"/>
      <c r="AN49" s="1304"/>
      <c r="AO49" s="1304"/>
      <c r="AP49" s="1304"/>
      <c r="AQ49" s="1304"/>
      <c r="AR49" s="1304"/>
      <c r="AS49" s="1304"/>
      <c r="AT49" s="1304"/>
      <c r="AU49" s="1304"/>
      <c r="AV49" s="1304"/>
      <c r="AW49" s="1304"/>
      <c r="AX49" s="1304"/>
      <c r="AY49" s="1304"/>
      <c r="AZ49" s="1304"/>
      <c r="BA49" s="1304"/>
      <c r="BB49" s="1304"/>
      <c r="BC49" s="1304"/>
      <c r="BD49" s="1304"/>
      <c r="BE49" s="1304"/>
      <c r="BF49" s="1304"/>
      <c r="BG49" s="1304"/>
      <c r="BH49" s="1304"/>
      <c r="BI49" s="1304"/>
      <c r="BJ49" s="1304"/>
      <c r="BK49" s="1304"/>
      <c r="BL49" s="1304"/>
      <c r="BM49" s="1304"/>
      <c r="BN49" s="1304"/>
      <c r="BO49" s="1304"/>
      <c r="BP49" s="1304"/>
      <c r="BQ49" s="1304"/>
      <c r="BR49" s="1304"/>
      <c r="BS49" s="1304"/>
      <c r="BT49" s="1304"/>
      <c r="BU49" s="1304"/>
      <c r="BV49" s="1304"/>
      <c r="BW49" s="1304"/>
      <c r="BX49" s="1304"/>
      <c r="BY49" s="1304"/>
      <c r="BZ49" s="1304"/>
      <c r="CA49" s="1304"/>
      <c r="CB49" s="1304"/>
      <c r="CC49" s="1304"/>
      <c r="CD49" s="1304"/>
      <c r="CE49" s="1304"/>
      <c r="CF49" s="1304"/>
      <c r="CG49" s="1304"/>
      <c r="CH49" s="1304"/>
      <c r="CI49" s="1304"/>
      <c r="CJ49" s="1304"/>
      <c r="CK49" s="1304"/>
      <c r="CL49" s="1304"/>
      <c r="CM49" s="1304"/>
      <c r="CN49" s="1304"/>
      <c r="CO49" s="1304"/>
      <c r="CP49" s="1304"/>
      <c r="CQ49" s="1304"/>
      <c r="CR49" s="1304"/>
      <c r="CS49" s="1305"/>
      <c r="CT49" s="1305"/>
      <c r="CU49" s="1305"/>
      <c r="CV49" s="1305"/>
      <c r="CW49" s="1305"/>
      <c r="CX49" s="1305"/>
      <c r="CY49" s="1305"/>
      <c r="CZ49" s="1305"/>
      <c r="DA49" s="29"/>
    </row>
    <row r="50" spans="1:105" ht="11.25" customHeight="1" outlineLevel="1">
      <c r="A50" s="16">
        <v>200013</v>
      </c>
      <c r="B50" s="20" t="s">
        <v>199</v>
      </c>
      <c r="C50" s="20" t="s">
        <v>531</v>
      </c>
      <c r="D50" s="20" t="s">
        <v>1284</v>
      </c>
      <c r="E50" s="20" t="s">
        <v>203</v>
      </c>
      <c r="F50" s="21" t="s">
        <v>1552</v>
      </c>
      <c r="G50" s="21">
        <v>10</v>
      </c>
      <c r="H50" s="21">
        <v>64</v>
      </c>
      <c r="I50" s="21">
        <v>46</v>
      </c>
      <c r="J50" s="42">
        <v>120</v>
      </c>
      <c r="K50" s="21">
        <v>10</v>
      </c>
      <c r="L50" s="21">
        <v>51</v>
      </c>
      <c r="M50" s="21">
        <v>9</v>
      </c>
      <c r="N50" s="21">
        <v>30</v>
      </c>
      <c r="O50" s="21">
        <v>39</v>
      </c>
      <c r="P50" s="21">
        <v>0</v>
      </c>
      <c r="Q50" s="21"/>
      <c r="R50" s="20">
        <f t="shared" si="1"/>
        <v>100</v>
      </c>
      <c r="S50" s="22">
        <f t="shared" si="2"/>
        <v>200013</v>
      </c>
      <c r="T50" s="22">
        <f>COUNTIF($V$4:V50,V50)</f>
        <v>26</v>
      </c>
      <c r="U50" s="22" t="str">
        <f>IF(T50=1,COUNTIF($T$4:T50,1),"")</f>
        <v/>
      </c>
      <c r="V50" s="23" t="str">
        <f t="shared" si="3"/>
        <v>北区03認定こども園</v>
      </c>
      <c r="W50" s="23" t="str">
        <f t="shared" si="4"/>
        <v>屯田保育園</v>
      </c>
      <c r="X50" s="24">
        <v>46</v>
      </c>
      <c r="Y50" s="30" t="str">
        <f t="shared" si="7"/>
        <v/>
      </c>
      <c r="Z50" s="1304" t="str">
        <f t="shared" si="8"/>
        <v>こすもす認定こども園</v>
      </c>
      <c r="AA50" s="1304" t="str">
        <f t="shared" si="8"/>
        <v/>
      </c>
      <c r="AB50" s="1304" t="str">
        <f t="shared" si="8"/>
        <v/>
      </c>
      <c r="AC50" s="1304" t="str">
        <f t="shared" si="8"/>
        <v/>
      </c>
      <c r="AD50" s="1304" t="str">
        <f t="shared" si="8"/>
        <v/>
      </c>
      <c r="AE50" s="1304" t="str">
        <f t="shared" si="8"/>
        <v/>
      </c>
      <c r="AF50" s="1304" t="str">
        <f t="shared" si="8"/>
        <v/>
      </c>
      <c r="AG50" s="1304" t="str">
        <f t="shared" si="8"/>
        <v/>
      </c>
      <c r="AH50" s="1304" t="str">
        <f t="shared" si="8"/>
        <v/>
      </c>
      <c r="AI50" s="1304">
        <f t="shared" si="8"/>
        <v>0</v>
      </c>
      <c r="AJ50" s="1304"/>
      <c r="AK50" s="1304"/>
      <c r="AL50" s="1304"/>
      <c r="AM50" s="1304"/>
      <c r="AN50" s="1304"/>
      <c r="AO50" s="1304"/>
      <c r="AP50" s="1304"/>
      <c r="AQ50" s="1304"/>
      <c r="AR50" s="1304"/>
      <c r="AS50" s="1304"/>
      <c r="AT50" s="1304"/>
      <c r="AU50" s="1304"/>
      <c r="AV50" s="1304"/>
      <c r="AW50" s="1304"/>
      <c r="AX50" s="1304"/>
      <c r="AY50" s="1304"/>
      <c r="AZ50" s="1304"/>
      <c r="BA50" s="1304"/>
      <c r="BB50" s="1304"/>
      <c r="BC50" s="1304"/>
      <c r="BD50" s="1304"/>
      <c r="BE50" s="1304"/>
      <c r="BF50" s="1304"/>
      <c r="BG50" s="1304"/>
      <c r="BH50" s="1304"/>
      <c r="BI50" s="1304"/>
      <c r="BJ50" s="1304"/>
      <c r="BK50" s="1304"/>
      <c r="BL50" s="1304"/>
      <c r="BM50" s="1304"/>
      <c r="BN50" s="1304"/>
      <c r="BO50" s="1304"/>
      <c r="BP50" s="1304"/>
      <c r="BQ50" s="1304"/>
      <c r="BR50" s="1304"/>
      <c r="BS50" s="1304"/>
      <c r="BT50" s="1304"/>
      <c r="BU50" s="1304"/>
      <c r="BV50" s="1304"/>
      <c r="BW50" s="1304"/>
      <c r="BX50" s="1304"/>
      <c r="BY50" s="1304"/>
      <c r="BZ50" s="1304"/>
      <c r="CA50" s="1304"/>
      <c r="CB50" s="1304"/>
      <c r="CC50" s="1304"/>
      <c r="CD50" s="1304"/>
      <c r="CE50" s="1304"/>
      <c r="CF50" s="1304"/>
      <c r="CG50" s="1304"/>
      <c r="CH50" s="1304"/>
      <c r="CI50" s="1304"/>
      <c r="CJ50" s="1304"/>
      <c r="CK50" s="1304"/>
      <c r="CL50" s="1304"/>
      <c r="CM50" s="1304"/>
      <c r="CN50" s="1304"/>
      <c r="CO50" s="1304"/>
      <c r="CP50" s="1304"/>
      <c r="CQ50" s="1304"/>
      <c r="CR50" s="1304"/>
      <c r="CS50" s="1305"/>
      <c r="CT50" s="1305"/>
      <c r="CU50" s="1305"/>
      <c r="CV50" s="1305"/>
      <c r="CW50" s="1305"/>
      <c r="CX50" s="1305"/>
      <c r="CY50" s="1305"/>
      <c r="CZ50" s="1305"/>
      <c r="DA50" s="29"/>
    </row>
    <row r="51" spans="1:105" ht="11.25" customHeight="1" outlineLevel="1">
      <c r="A51" s="16">
        <v>200014</v>
      </c>
      <c r="B51" s="20" t="s">
        <v>199</v>
      </c>
      <c r="C51" s="20" t="s">
        <v>531</v>
      </c>
      <c r="D51" s="20" t="s">
        <v>1067</v>
      </c>
      <c r="E51" s="20" t="s">
        <v>203</v>
      </c>
      <c r="F51" s="21" t="s">
        <v>1421</v>
      </c>
      <c r="G51" s="21">
        <v>10</v>
      </c>
      <c r="H51" s="21">
        <v>58</v>
      </c>
      <c r="I51" s="21">
        <v>42</v>
      </c>
      <c r="J51" s="42">
        <v>110</v>
      </c>
      <c r="K51" s="21">
        <v>10</v>
      </c>
      <c r="L51" s="21">
        <v>58</v>
      </c>
      <c r="M51" s="21">
        <v>12</v>
      </c>
      <c r="N51" s="21">
        <v>30</v>
      </c>
      <c r="O51" s="21">
        <v>42</v>
      </c>
      <c r="P51" s="21">
        <v>0</v>
      </c>
      <c r="Q51" s="21"/>
      <c r="R51" s="20">
        <f t="shared" si="1"/>
        <v>110</v>
      </c>
      <c r="S51" s="22">
        <f t="shared" si="2"/>
        <v>200014</v>
      </c>
      <c r="T51" s="22">
        <f>COUNTIF($V$4:V51,V51)</f>
        <v>27</v>
      </c>
      <c r="U51" s="22" t="str">
        <f>IF(T51=1,COUNTIF($T$4:T51,1),"")</f>
        <v/>
      </c>
      <c r="V51" s="23" t="str">
        <f t="shared" si="3"/>
        <v>北区03認定こども園</v>
      </c>
      <c r="W51" s="23" t="str">
        <f t="shared" si="4"/>
        <v>認定こども園篠路中央保育園</v>
      </c>
      <c r="X51" s="24">
        <v>47</v>
      </c>
      <c r="Y51" s="30" t="str">
        <f t="shared" si="7"/>
        <v/>
      </c>
      <c r="Z51" s="1304" t="str">
        <f t="shared" si="8"/>
        <v>白楊みどり保育園</v>
      </c>
      <c r="AA51" s="1304" t="str">
        <f t="shared" si="8"/>
        <v/>
      </c>
      <c r="AB51" s="1304" t="str">
        <f t="shared" si="8"/>
        <v/>
      </c>
      <c r="AC51" s="1304" t="str">
        <f t="shared" si="8"/>
        <v/>
      </c>
      <c r="AD51" s="1304" t="str">
        <f t="shared" si="8"/>
        <v/>
      </c>
      <c r="AE51" s="1304" t="str">
        <f t="shared" si="8"/>
        <v/>
      </c>
      <c r="AF51" s="1304" t="str">
        <f t="shared" si="8"/>
        <v/>
      </c>
      <c r="AG51" s="1304" t="str">
        <f t="shared" si="8"/>
        <v/>
      </c>
      <c r="AH51" s="1304" t="str">
        <f t="shared" si="8"/>
        <v/>
      </c>
      <c r="AI51" s="1304">
        <f t="shared" si="8"/>
        <v>0</v>
      </c>
      <c r="AJ51" s="1304"/>
      <c r="AK51" s="1304"/>
      <c r="AL51" s="1304"/>
      <c r="AM51" s="1304"/>
      <c r="AN51" s="1304"/>
      <c r="AO51" s="1304"/>
      <c r="AP51" s="1304"/>
      <c r="AQ51" s="1304"/>
      <c r="AR51" s="1304"/>
      <c r="AS51" s="1304"/>
      <c r="AT51" s="1304"/>
      <c r="AU51" s="1304"/>
      <c r="AV51" s="1304"/>
      <c r="AW51" s="1304"/>
      <c r="AX51" s="1304"/>
      <c r="AY51" s="1304"/>
      <c r="AZ51" s="1304"/>
      <c r="BA51" s="1304"/>
      <c r="BB51" s="1304"/>
      <c r="BC51" s="1304"/>
      <c r="BD51" s="1304"/>
      <c r="BE51" s="1304"/>
      <c r="BF51" s="1304"/>
      <c r="BG51" s="1304"/>
      <c r="BH51" s="1304"/>
      <c r="BI51" s="1304"/>
      <c r="BJ51" s="1304"/>
      <c r="BK51" s="1304"/>
      <c r="BL51" s="1304"/>
      <c r="BM51" s="1304"/>
      <c r="BN51" s="1304"/>
      <c r="BO51" s="1304"/>
      <c r="BP51" s="1304"/>
      <c r="BQ51" s="1304"/>
      <c r="BR51" s="1304"/>
      <c r="BS51" s="1304"/>
      <c r="BT51" s="1304"/>
      <c r="BU51" s="1304"/>
      <c r="BV51" s="1304"/>
      <c r="BW51" s="1304"/>
      <c r="BX51" s="1304"/>
      <c r="BY51" s="1304"/>
      <c r="BZ51" s="1304"/>
      <c r="CA51" s="1304"/>
      <c r="CB51" s="1304"/>
      <c r="CC51" s="1304"/>
      <c r="CD51" s="1304"/>
      <c r="CE51" s="1304"/>
      <c r="CF51" s="1304"/>
      <c r="CG51" s="1304"/>
      <c r="CH51" s="1304"/>
      <c r="CI51" s="1304"/>
      <c r="CJ51" s="1304"/>
      <c r="CK51" s="1304"/>
      <c r="CL51" s="1304"/>
      <c r="CM51" s="1304"/>
      <c r="CN51" s="1304"/>
      <c r="CO51" s="1304"/>
      <c r="CP51" s="1304"/>
      <c r="CQ51" s="1304"/>
      <c r="CR51" s="1304"/>
      <c r="CS51" s="1305"/>
      <c r="CT51" s="1305"/>
      <c r="CU51" s="1305"/>
      <c r="CV51" s="1305"/>
      <c r="CW51" s="1305"/>
      <c r="CX51" s="1305"/>
      <c r="CY51" s="1305"/>
      <c r="CZ51" s="1305"/>
      <c r="DA51" s="29"/>
    </row>
    <row r="52" spans="1:105" ht="11.25" customHeight="1" outlineLevel="1">
      <c r="A52" s="16">
        <v>200015</v>
      </c>
      <c r="B52" s="20" t="s">
        <v>199</v>
      </c>
      <c r="C52" s="20" t="s">
        <v>531</v>
      </c>
      <c r="D52" s="20" t="s">
        <v>1284</v>
      </c>
      <c r="E52" s="20" t="s">
        <v>203</v>
      </c>
      <c r="F52" s="21" t="s">
        <v>1648</v>
      </c>
      <c r="G52" s="21">
        <v>9</v>
      </c>
      <c r="H52" s="21">
        <v>50</v>
      </c>
      <c r="I52" s="21">
        <v>40</v>
      </c>
      <c r="J52" s="42">
        <v>99</v>
      </c>
      <c r="K52" s="21">
        <v>9</v>
      </c>
      <c r="L52" s="21">
        <v>50</v>
      </c>
      <c r="M52" s="21">
        <v>10</v>
      </c>
      <c r="N52" s="21">
        <v>30</v>
      </c>
      <c r="O52" s="21">
        <v>40</v>
      </c>
      <c r="P52" s="21">
        <v>0</v>
      </c>
      <c r="Q52" s="21"/>
      <c r="R52" s="20">
        <f t="shared" si="1"/>
        <v>99</v>
      </c>
      <c r="S52" s="22">
        <f t="shared" si="2"/>
        <v>200015</v>
      </c>
      <c r="T52" s="22">
        <f>COUNTIF($V$4:V52,V52)</f>
        <v>28</v>
      </c>
      <c r="U52" s="22" t="str">
        <f>IF(T52=1,COUNTIF($T$4:T52,1),"")</f>
        <v/>
      </c>
      <c r="V52" s="23" t="str">
        <f t="shared" si="3"/>
        <v>北区03認定こども園</v>
      </c>
      <c r="W52" s="23" t="str">
        <f t="shared" si="4"/>
        <v>認定こども園愛和えるむ保育園</v>
      </c>
      <c r="X52" s="24">
        <v>48</v>
      </c>
      <c r="Y52" s="30" t="str">
        <f t="shared" si="7"/>
        <v/>
      </c>
      <c r="Z52" s="1304" t="str">
        <f t="shared" si="8"/>
        <v>もみの木にいな認定こども園</v>
      </c>
      <c r="AA52" s="1304" t="str">
        <f t="shared" si="8"/>
        <v/>
      </c>
      <c r="AB52" s="1304" t="str">
        <f t="shared" si="8"/>
        <v/>
      </c>
      <c r="AC52" s="1304" t="str">
        <f t="shared" si="8"/>
        <v/>
      </c>
      <c r="AD52" s="1304" t="str">
        <f t="shared" si="8"/>
        <v/>
      </c>
      <c r="AE52" s="1304" t="str">
        <f t="shared" si="8"/>
        <v/>
      </c>
      <c r="AF52" s="1304" t="str">
        <f t="shared" si="8"/>
        <v/>
      </c>
      <c r="AG52" s="1304" t="str">
        <f t="shared" si="8"/>
        <v/>
      </c>
      <c r="AH52" s="1304" t="str">
        <f t="shared" si="8"/>
        <v/>
      </c>
      <c r="AI52" s="1304">
        <f t="shared" si="8"/>
        <v>0</v>
      </c>
      <c r="AJ52" s="1304"/>
      <c r="AK52" s="1304"/>
      <c r="AL52" s="1304"/>
      <c r="AM52" s="1304"/>
      <c r="AN52" s="1304"/>
      <c r="AO52" s="1304"/>
      <c r="AP52" s="1304"/>
      <c r="AQ52" s="1304"/>
      <c r="AR52" s="1304"/>
      <c r="AS52" s="1304"/>
      <c r="AT52" s="1304"/>
      <c r="AU52" s="1304"/>
      <c r="AV52" s="1304"/>
      <c r="AW52" s="1304"/>
      <c r="AX52" s="1304"/>
      <c r="AY52" s="1304"/>
      <c r="AZ52" s="1304"/>
      <c r="BA52" s="1304"/>
      <c r="BB52" s="1304"/>
      <c r="BC52" s="1304"/>
      <c r="BD52" s="1304"/>
      <c r="BE52" s="1304"/>
      <c r="BF52" s="1304"/>
      <c r="BG52" s="1304"/>
      <c r="BH52" s="1304"/>
      <c r="BI52" s="1304"/>
      <c r="BJ52" s="1304"/>
      <c r="BK52" s="1304"/>
      <c r="BL52" s="1304"/>
      <c r="BM52" s="1304"/>
      <c r="BN52" s="1304"/>
      <c r="BO52" s="1304"/>
      <c r="BP52" s="1304"/>
      <c r="BQ52" s="1304"/>
      <c r="BR52" s="1304"/>
      <c r="BS52" s="1304"/>
      <c r="BT52" s="1304"/>
      <c r="BU52" s="1304"/>
      <c r="BV52" s="1304"/>
      <c r="BW52" s="1304"/>
      <c r="BX52" s="1304"/>
      <c r="BY52" s="1304"/>
      <c r="BZ52" s="1304"/>
      <c r="CA52" s="1304"/>
      <c r="CB52" s="1304"/>
      <c r="CC52" s="1304"/>
      <c r="CD52" s="1304"/>
      <c r="CE52" s="1304"/>
      <c r="CF52" s="1304"/>
      <c r="CG52" s="1304"/>
      <c r="CH52" s="1304"/>
      <c r="CI52" s="1304"/>
      <c r="CJ52" s="1304"/>
      <c r="CK52" s="1304"/>
      <c r="CL52" s="1304"/>
      <c r="CM52" s="1304"/>
      <c r="CN52" s="1304"/>
      <c r="CO52" s="1304"/>
      <c r="CP52" s="1304"/>
      <c r="CQ52" s="1304"/>
      <c r="CR52" s="1304"/>
      <c r="CS52" s="1305"/>
      <c r="CT52" s="1305"/>
      <c r="CU52" s="1305"/>
      <c r="CV52" s="1305"/>
      <c r="CW52" s="1305"/>
      <c r="CX52" s="1305"/>
      <c r="CY52" s="1305"/>
      <c r="CZ52" s="1305"/>
      <c r="DA52" s="1308"/>
    </row>
    <row r="53" spans="1:105" ht="11.25" customHeight="1" outlineLevel="1">
      <c r="A53" s="16">
        <v>200016</v>
      </c>
      <c r="B53" s="20" t="s">
        <v>199</v>
      </c>
      <c r="C53" s="20" t="s">
        <v>531</v>
      </c>
      <c r="D53" s="20" t="s">
        <v>1067</v>
      </c>
      <c r="E53" s="20" t="s">
        <v>203</v>
      </c>
      <c r="F53" s="21" t="s">
        <v>1291</v>
      </c>
      <c r="G53" s="21">
        <v>15</v>
      </c>
      <c r="H53" s="21">
        <v>68</v>
      </c>
      <c r="I53" s="21">
        <v>52</v>
      </c>
      <c r="J53" s="42">
        <v>135</v>
      </c>
      <c r="K53" s="21">
        <v>15</v>
      </c>
      <c r="L53" s="21">
        <v>51</v>
      </c>
      <c r="M53" s="21">
        <v>9</v>
      </c>
      <c r="N53" s="21">
        <v>30</v>
      </c>
      <c r="O53" s="21">
        <v>39</v>
      </c>
      <c r="P53" s="21">
        <v>0</v>
      </c>
      <c r="Q53" s="21"/>
      <c r="R53" s="20">
        <f t="shared" si="1"/>
        <v>105</v>
      </c>
      <c r="S53" s="22">
        <f t="shared" si="2"/>
        <v>200016</v>
      </c>
      <c r="T53" s="22">
        <f>COUNTIF($V$4:V53,V53)</f>
        <v>29</v>
      </c>
      <c r="U53" s="22" t="str">
        <f>IF(T53=1,COUNTIF($T$4:T53,1),"")</f>
        <v/>
      </c>
      <c r="V53" s="23" t="str">
        <f t="shared" si="3"/>
        <v>北区03認定こども園</v>
      </c>
      <c r="W53" s="23" t="str">
        <f t="shared" si="4"/>
        <v>篠路高洋保育園</v>
      </c>
      <c r="X53" s="24">
        <v>49</v>
      </c>
      <c r="Y53" s="30" t="str">
        <f t="shared" si="7"/>
        <v/>
      </c>
      <c r="Z53" s="1304" t="str">
        <f t="shared" si="7"/>
        <v>認定こども園おーるまいてぃ屯田園</v>
      </c>
      <c r="AA53" s="1304" t="str">
        <f t="shared" si="7"/>
        <v/>
      </c>
      <c r="AB53" s="1304" t="str">
        <f t="shared" si="7"/>
        <v/>
      </c>
      <c r="AC53" s="1304" t="str">
        <f t="shared" si="7"/>
        <v/>
      </c>
      <c r="AD53" s="1304" t="str">
        <f t="shared" si="7"/>
        <v/>
      </c>
      <c r="AE53" s="1304" t="str">
        <f t="shared" si="7"/>
        <v/>
      </c>
      <c r="AF53" s="1304" t="str">
        <f t="shared" si="7"/>
        <v/>
      </c>
      <c r="AG53" s="1304" t="str">
        <f t="shared" si="7"/>
        <v/>
      </c>
      <c r="AH53" s="1304" t="str">
        <f t="shared" si="7"/>
        <v/>
      </c>
      <c r="AI53" s="1304">
        <f t="shared" si="7"/>
        <v>0</v>
      </c>
      <c r="AJ53" s="1304"/>
      <c r="AK53" s="1304"/>
      <c r="AL53" s="1304"/>
      <c r="AM53" s="1304"/>
      <c r="AN53" s="1304"/>
      <c r="AO53" s="1304"/>
      <c r="AP53" s="1304"/>
      <c r="AQ53" s="1304"/>
      <c r="AR53" s="1304"/>
      <c r="AS53" s="1304"/>
      <c r="AT53" s="1304"/>
      <c r="AU53" s="1304"/>
      <c r="AV53" s="1304"/>
      <c r="AW53" s="1304"/>
      <c r="AX53" s="1304"/>
      <c r="AY53" s="1304"/>
      <c r="AZ53" s="1304"/>
      <c r="BA53" s="1304"/>
      <c r="BB53" s="1304"/>
      <c r="BC53" s="1304"/>
      <c r="BD53" s="1304"/>
      <c r="BE53" s="1304"/>
      <c r="BF53" s="1304"/>
      <c r="BG53" s="1304"/>
      <c r="BH53" s="1304"/>
      <c r="BI53" s="1304"/>
      <c r="BJ53" s="1304"/>
      <c r="BK53" s="1304"/>
      <c r="BL53" s="1304"/>
      <c r="BM53" s="1304"/>
      <c r="BN53" s="1304"/>
      <c r="BO53" s="1304"/>
      <c r="BP53" s="1304"/>
      <c r="BQ53" s="1304"/>
      <c r="BR53" s="1304"/>
      <c r="BS53" s="1304"/>
      <c r="BT53" s="1304"/>
      <c r="BU53" s="1304"/>
      <c r="BV53" s="1304"/>
      <c r="BW53" s="1304"/>
      <c r="BX53" s="1304"/>
      <c r="BY53" s="1304"/>
      <c r="BZ53" s="1304"/>
      <c r="CA53" s="1304"/>
      <c r="CB53" s="1304"/>
      <c r="CC53" s="1304"/>
      <c r="CD53" s="1304"/>
      <c r="CE53" s="1304"/>
      <c r="CF53" s="1304"/>
      <c r="CG53" s="1304"/>
      <c r="CH53" s="1304"/>
      <c r="CI53" s="1304"/>
      <c r="CJ53" s="1304"/>
      <c r="CK53" s="1304"/>
      <c r="CL53" s="1304"/>
      <c r="CM53" s="1304"/>
      <c r="CN53" s="1304"/>
      <c r="CO53" s="1304"/>
      <c r="CP53" s="1304"/>
      <c r="CQ53" s="1304"/>
      <c r="CR53" s="1304"/>
      <c r="CS53" s="1305"/>
      <c r="CT53" s="1305"/>
      <c r="CU53" s="1305"/>
      <c r="CV53" s="1305"/>
      <c r="CW53" s="1305"/>
      <c r="CX53" s="1305"/>
      <c r="CY53" s="1305"/>
      <c r="CZ53" s="1305"/>
      <c r="DA53" s="1308"/>
    </row>
    <row r="54" spans="1:105" outlineLevel="1">
      <c r="A54" s="16">
        <v>200018</v>
      </c>
      <c r="B54" s="20" t="s">
        <v>199</v>
      </c>
      <c r="C54" s="20" t="s">
        <v>531</v>
      </c>
      <c r="D54" s="20" t="s">
        <v>1067</v>
      </c>
      <c r="E54" s="20" t="s">
        <v>203</v>
      </c>
      <c r="F54" s="21" t="s">
        <v>1292</v>
      </c>
      <c r="G54" s="21">
        <v>15</v>
      </c>
      <c r="H54" s="21">
        <v>54</v>
      </c>
      <c r="I54" s="21">
        <v>46</v>
      </c>
      <c r="J54" s="42">
        <v>115</v>
      </c>
      <c r="K54" s="21">
        <v>15</v>
      </c>
      <c r="L54" s="21">
        <v>54</v>
      </c>
      <c r="M54" s="21">
        <v>12</v>
      </c>
      <c r="N54" s="21">
        <v>34</v>
      </c>
      <c r="O54" s="21">
        <v>46</v>
      </c>
      <c r="P54" s="21">
        <v>0</v>
      </c>
      <c r="Q54" s="21"/>
      <c r="R54" s="20">
        <f t="shared" si="1"/>
        <v>115</v>
      </c>
      <c r="S54" s="22">
        <f t="shared" si="2"/>
        <v>200018</v>
      </c>
      <c r="T54" s="22">
        <f>COUNTIF($V$4:V54,V54)</f>
        <v>30</v>
      </c>
      <c r="U54" s="22" t="str">
        <f>IF(T54=1,COUNTIF($T$4:T54,1),"")</f>
        <v/>
      </c>
      <c r="V54" s="23" t="str">
        <f t="shared" si="3"/>
        <v>北区03認定こども園</v>
      </c>
      <c r="W54" s="23" t="str">
        <f t="shared" si="4"/>
        <v>三和新琴似保育園</v>
      </c>
      <c r="X54" s="24">
        <v>50</v>
      </c>
      <c r="Y54" s="30" t="str">
        <f t="shared" si="7"/>
        <v/>
      </c>
      <c r="Z54" s="1304" t="str">
        <f t="shared" si="7"/>
        <v>認定こども園新川西コグマ保育園</v>
      </c>
      <c r="AA54" s="1304" t="str">
        <f t="shared" si="7"/>
        <v/>
      </c>
      <c r="AB54" s="1309" t="str">
        <f t="shared" si="7"/>
        <v/>
      </c>
      <c r="AC54" s="1309" t="str">
        <f t="shared" si="7"/>
        <v/>
      </c>
      <c r="AD54" s="1309" t="str">
        <f t="shared" si="7"/>
        <v/>
      </c>
      <c r="AE54" s="1309" t="str">
        <f t="shared" si="7"/>
        <v/>
      </c>
      <c r="AF54" s="1304" t="str">
        <f t="shared" si="7"/>
        <v/>
      </c>
      <c r="AG54" s="1309" t="str">
        <f t="shared" si="7"/>
        <v/>
      </c>
      <c r="AH54" s="1305" t="str">
        <f t="shared" si="7"/>
        <v/>
      </c>
      <c r="AI54" s="1305">
        <f t="shared" si="7"/>
        <v>0</v>
      </c>
      <c r="AJ54" s="1305"/>
      <c r="AK54" s="1305"/>
      <c r="AL54" s="1305"/>
      <c r="AM54" s="1305"/>
      <c r="AN54" s="1305"/>
      <c r="AO54" s="1305"/>
      <c r="AP54" s="1305"/>
      <c r="AQ54" s="1305"/>
      <c r="AR54" s="1305"/>
      <c r="AS54" s="1305"/>
      <c r="AT54" s="1305"/>
      <c r="AU54" s="1305"/>
      <c r="AV54" s="1305"/>
      <c r="AW54" s="1305"/>
      <c r="AX54" s="1305"/>
      <c r="AY54" s="1305"/>
      <c r="AZ54" s="1305"/>
      <c r="BA54" s="1305"/>
      <c r="BB54" s="1305"/>
      <c r="BC54" s="1305"/>
      <c r="BD54" s="1305"/>
      <c r="BE54" s="1305"/>
      <c r="BF54" s="1305"/>
      <c r="BG54" s="1305"/>
      <c r="BH54" s="1305"/>
      <c r="BI54" s="1305"/>
      <c r="BJ54" s="1305"/>
      <c r="BK54" s="1305"/>
      <c r="BL54" s="1305"/>
      <c r="BM54" s="1305"/>
      <c r="BN54" s="1305"/>
      <c r="BO54" s="1305"/>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8"/>
    </row>
    <row r="55" spans="1:105" outlineLevel="1">
      <c r="A55" s="16">
        <v>200019</v>
      </c>
      <c r="B55" s="20" t="s">
        <v>199</v>
      </c>
      <c r="C55" s="20" t="s">
        <v>531</v>
      </c>
      <c r="D55" s="20" t="s">
        <v>1067</v>
      </c>
      <c r="E55" s="20" t="s">
        <v>203</v>
      </c>
      <c r="F55" s="21" t="s">
        <v>1422</v>
      </c>
      <c r="G55" s="21">
        <v>15</v>
      </c>
      <c r="H55" s="21">
        <v>71</v>
      </c>
      <c r="I55" s="21">
        <v>49</v>
      </c>
      <c r="J55" s="42">
        <v>135</v>
      </c>
      <c r="K55" s="21">
        <v>15</v>
      </c>
      <c r="L55" s="21">
        <v>71</v>
      </c>
      <c r="M55" s="21">
        <v>13</v>
      </c>
      <c r="N55" s="21">
        <v>36</v>
      </c>
      <c r="O55" s="21">
        <v>49</v>
      </c>
      <c r="P55" s="21">
        <v>0</v>
      </c>
      <c r="Q55" s="21"/>
      <c r="R55" s="20">
        <f t="shared" si="1"/>
        <v>135</v>
      </c>
      <c r="S55" s="22">
        <f t="shared" si="2"/>
        <v>200019</v>
      </c>
      <c r="T55" s="22">
        <f>COUNTIF($V$4:V55,V55)</f>
        <v>31</v>
      </c>
      <c r="U55" s="22" t="str">
        <f>IF(T55=1,COUNTIF($T$4:T55,1),"")</f>
        <v/>
      </c>
      <c r="V55" s="23" t="str">
        <f t="shared" si="3"/>
        <v>北区03認定こども園</v>
      </c>
      <c r="W55" s="23" t="str">
        <f t="shared" si="4"/>
        <v>太平保育園</v>
      </c>
      <c r="X55" s="24">
        <v>51</v>
      </c>
      <c r="Y55" s="30" t="str">
        <f t="shared" si="7"/>
        <v/>
      </c>
      <c r="Z55" s="1304" t="str">
        <f t="shared" si="7"/>
        <v>認定こども園ピッコロ子ども倶楽部北大前保育所</v>
      </c>
      <c r="AA55" s="1304" t="str">
        <f t="shared" si="7"/>
        <v/>
      </c>
      <c r="AB55" s="1309" t="str">
        <f t="shared" si="7"/>
        <v/>
      </c>
      <c r="AC55" s="1309" t="str">
        <f t="shared" si="7"/>
        <v/>
      </c>
      <c r="AD55" s="1309" t="str">
        <f t="shared" si="7"/>
        <v/>
      </c>
      <c r="AE55" s="1309" t="str">
        <f t="shared" si="7"/>
        <v/>
      </c>
      <c r="AF55" s="1304" t="str">
        <f t="shared" si="7"/>
        <v/>
      </c>
      <c r="AG55" s="1309" t="str">
        <f t="shared" si="7"/>
        <v/>
      </c>
      <c r="AH55" s="1305" t="str">
        <f t="shared" si="7"/>
        <v/>
      </c>
      <c r="AI55" s="1305">
        <f t="shared" si="7"/>
        <v>0</v>
      </c>
      <c r="AJ55" s="1305"/>
      <c r="AK55" s="1305"/>
      <c r="AL55" s="1305"/>
      <c r="AM55" s="1305"/>
      <c r="AN55" s="1305"/>
      <c r="AO55" s="1305"/>
      <c r="AP55" s="1305"/>
      <c r="AQ55" s="1305"/>
      <c r="AR55" s="1305"/>
      <c r="AS55" s="1305"/>
      <c r="AT55" s="1305"/>
      <c r="AU55" s="1305"/>
      <c r="AV55" s="1305"/>
      <c r="AW55" s="1305"/>
      <c r="AX55" s="1305"/>
      <c r="AY55" s="1305"/>
      <c r="AZ55" s="1305"/>
      <c r="BA55" s="1305"/>
      <c r="BB55" s="1305"/>
      <c r="BC55" s="1305"/>
      <c r="BD55" s="1305"/>
      <c r="BE55" s="1305"/>
      <c r="BF55" s="1305"/>
      <c r="BG55" s="1305"/>
      <c r="BH55" s="1305"/>
      <c r="BI55" s="1305"/>
      <c r="BJ55" s="1305"/>
      <c r="BK55" s="1305"/>
      <c r="BL55" s="1305"/>
      <c r="BM55" s="1305"/>
      <c r="BN55" s="1305"/>
      <c r="BO55" s="1305"/>
      <c r="BP55" s="1305"/>
      <c r="BQ55" s="1305"/>
      <c r="BR55" s="1305"/>
      <c r="BS55" s="1305"/>
      <c r="BT55" s="1305"/>
      <c r="BU55" s="1305"/>
      <c r="BV55" s="1305"/>
      <c r="BW55" s="1305"/>
      <c r="BX55" s="1305"/>
      <c r="BY55" s="1305"/>
      <c r="BZ55" s="1305"/>
      <c r="CA55" s="1305"/>
      <c r="CB55" s="1305"/>
      <c r="CC55" s="1305"/>
      <c r="CD55" s="1305"/>
      <c r="CE55" s="1305"/>
      <c r="CF55" s="1305"/>
      <c r="CG55" s="1305"/>
      <c r="CH55" s="1305"/>
      <c r="CI55" s="1305"/>
      <c r="CJ55" s="1305"/>
      <c r="CK55" s="1305"/>
      <c r="CL55" s="1305"/>
      <c r="CM55" s="1305"/>
      <c r="CN55" s="1305"/>
      <c r="CO55" s="1305"/>
      <c r="CP55" s="1305"/>
      <c r="CQ55" s="1305"/>
      <c r="CR55" s="1305"/>
      <c r="CS55" s="1305"/>
      <c r="CT55" s="1305"/>
      <c r="CU55" s="1305"/>
      <c r="CV55" s="1305"/>
      <c r="CW55" s="1305"/>
      <c r="CX55" s="1305"/>
      <c r="CY55" s="1305"/>
      <c r="CZ55" s="1305"/>
      <c r="DA55" s="1308"/>
    </row>
    <row r="56" spans="1:105" ht="11.25" customHeight="1" outlineLevel="1">
      <c r="A56" s="16">
        <v>200020</v>
      </c>
      <c r="B56" s="20" t="s">
        <v>199</v>
      </c>
      <c r="C56" s="20" t="s">
        <v>531</v>
      </c>
      <c r="D56" s="20" t="s">
        <v>1067</v>
      </c>
      <c r="E56" s="20" t="s">
        <v>203</v>
      </c>
      <c r="F56" s="21" t="s">
        <v>1293</v>
      </c>
      <c r="G56" s="21">
        <v>15</v>
      </c>
      <c r="H56" s="21">
        <v>65</v>
      </c>
      <c r="I56" s="21">
        <v>55</v>
      </c>
      <c r="J56" s="42">
        <v>135</v>
      </c>
      <c r="K56" s="21">
        <v>15</v>
      </c>
      <c r="L56" s="21">
        <v>65</v>
      </c>
      <c r="M56" s="21">
        <v>15</v>
      </c>
      <c r="N56" s="21">
        <v>40</v>
      </c>
      <c r="O56" s="21">
        <v>55</v>
      </c>
      <c r="P56" s="21">
        <v>0</v>
      </c>
      <c r="Q56" s="21"/>
      <c r="R56" s="20">
        <f t="shared" si="1"/>
        <v>135</v>
      </c>
      <c r="S56" s="22">
        <f t="shared" si="2"/>
        <v>200020</v>
      </c>
      <c r="T56" s="22">
        <f>COUNTIF($V$4:V56,V56)</f>
        <v>32</v>
      </c>
      <c r="U56" s="22" t="str">
        <f>IF(T56=1,COUNTIF($T$4:T56,1),"")</f>
        <v/>
      </c>
      <c r="V56" s="23" t="str">
        <f t="shared" si="3"/>
        <v>北区03認定こども園</v>
      </c>
      <c r="W56" s="23" t="str">
        <f t="shared" si="4"/>
        <v>あかつき篠路保育園</v>
      </c>
      <c r="X56" s="24">
        <v>52</v>
      </c>
      <c r="Y56" s="30" t="str">
        <f t="shared" si="7"/>
        <v/>
      </c>
      <c r="Z56" s="1304" t="str">
        <f t="shared" si="7"/>
        <v>きずな北保育園</v>
      </c>
      <c r="AA56" s="1304" t="str">
        <f t="shared" si="7"/>
        <v/>
      </c>
      <c r="AB56" s="1309" t="str">
        <f t="shared" si="7"/>
        <v/>
      </c>
      <c r="AC56" s="1309" t="str">
        <f t="shared" si="7"/>
        <v/>
      </c>
      <c r="AD56" s="1309" t="str">
        <f t="shared" si="7"/>
        <v/>
      </c>
      <c r="AE56" s="1309" t="str">
        <f t="shared" si="7"/>
        <v/>
      </c>
      <c r="AF56" s="1304" t="str">
        <f t="shared" si="7"/>
        <v/>
      </c>
      <c r="AG56" s="1309" t="str">
        <f t="shared" si="7"/>
        <v/>
      </c>
      <c r="AH56" s="1305" t="str">
        <f t="shared" si="7"/>
        <v/>
      </c>
      <c r="AI56" s="1305">
        <f t="shared" si="7"/>
        <v>0</v>
      </c>
      <c r="AJ56" s="1305"/>
      <c r="AK56" s="1305"/>
      <c r="AL56" s="1305"/>
      <c r="AM56" s="1305"/>
      <c r="AN56" s="1305"/>
      <c r="AO56" s="1305"/>
      <c r="AP56" s="1305"/>
      <c r="AQ56" s="1305"/>
      <c r="AR56" s="1305"/>
      <c r="AS56" s="1305"/>
      <c r="AT56" s="1305"/>
      <c r="AU56" s="1305"/>
      <c r="AV56" s="1305"/>
      <c r="AW56" s="1305"/>
      <c r="AX56" s="1305"/>
      <c r="AY56" s="1305"/>
      <c r="AZ56" s="1305"/>
      <c r="BA56" s="1305"/>
      <c r="BB56" s="1305"/>
      <c r="BC56" s="1305"/>
      <c r="BD56" s="1305"/>
      <c r="BE56" s="1305"/>
      <c r="BF56" s="1305"/>
      <c r="BG56" s="1305"/>
      <c r="BH56" s="1305"/>
      <c r="BI56" s="1305"/>
      <c r="BJ56" s="1305"/>
      <c r="BK56" s="1305"/>
      <c r="BL56" s="1305"/>
      <c r="BM56" s="1305"/>
      <c r="BN56" s="1305"/>
      <c r="BO56" s="1305"/>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8"/>
    </row>
    <row r="57" spans="1:105" outlineLevel="1">
      <c r="A57" s="16">
        <v>200021</v>
      </c>
      <c r="B57" s="20" t="s">
        <v>199</v>
      </c>
      <c r="C57" s="20" t="s">
        <v>531</v>
      </c>
      <c r="D57" s="20" t="s">
        <v>1067</v>
      </c>
      <c r="E57" s="20" t="s">
        <v>203</v>
      </c>
      <c r="F57" s="21" t="s">
        <v>1294</v>
      </c>
      <c r="G57" s="21">
        <v>15</v>
      </c>
      <c r="H57" s="21">
        <v>71</v>
      </c>
      <c r="I57" s="21">
        <v>49</v>
      </c>
      <c r="J57" s="42">
        <v>135</v>
      </c>
      <c r="K57" s="21">
        <v>15</v>
      </c>
      <c r="L57" s="21">
        <v>71</v>
      </c>
      <c r="M57" s="21">
        <v>10</v>
      </c>
      <c r="N57" s="21">
        <v>39</v>
      </c>
      <c r="O57" s="21">
        <v>49</v>
      </c>
      <c r="P57" s="21">
        <v>0</v>
      </c>
      <c r="Q57" s="21"/>
      <c r="R57" s="20">
        <f t="shared" si="1"/>
        <v>135</v>
      </c>
      <c r="S57" s="22">
        <f t="shared" si="2"/>
        <v>200021</v>
      </c>
      <c r="T57" s="22">
        <f>COUNTIF($V$4:V57,V57)</f>
        <v>33</v>
      </c>
      <c r="U57" s="22" t="str">
        <f>IF(T57=1,COUNTIF($T$4:T57,1),"")</f>
        <v/>
      </c>
      <c r="V57" s="23" t="str">
        <f t="shared" si="3"/>
        <v>北区03認定こども園</v>
      </c>
      <c r="W57" s="23" t="str">
        <f t="shared" si="4"/>
        <v>札幌北保育園</v>
      </c>
      <c r="X57" s="24">
        <v>53</v>
      </c>
      <c r="Y57" s="30" t="str">
        <f t="shared" si="7"/>
        <v/>
      </c>
      <c r="Z57" s="1304" t="str">
        <f t="shared" si="7"/>
        <v>新陽こども園</v>
      </c>
      <c r="AA57" s="1304" t="str">
        <f t="shared" si="7"/>
        <v/>
      </c>
      <c r="AB57" s="1309" t="str">
        <f t="shared" si="7"/>
        <v/>
      </c>
      <c r="AC57" s="1309" t="str">
        <f t="shared" si="7"/>
        <v/>
      </c>
      <c r="AD57" s="1309" t="str">
        <f t="shared" si="7"/>
        <v/>
      </c>
      <c r="AE57" s="1309" t="str">
        <f t="shared" si="7"/>
        <v/>
      </c>
      <c r="AF57" s="1304" t="str">
        <f t="shared" si="7"/>
        <v/>
      </c>
      <c r="AG57" s="1309" t="str">
        <f t="shared" si="7"/>
        <v/>
      </c>
      <c r="AH57" s="1305" t="str">
        <f t="shared" si="7"/>
        <v/>
      </c>
      <c r="AI57" s="1305">
        <f t="shared" si="7"/>
        <v>0</v>
      </c>
      <c r="AJ57" s="1305"/>
      <c r="AK57" s="1305"/>
      <c r="AL57" s="1305"/>
      <c r="AM57" s="1305"/>
      <c r="AN57" s="1305"/>
      <c r="AO57" s="1305"/>
      <c r="AP57" s="1305"/>
      <c r="AQ57" s="1305"/>
      <c r="AR57" s="1305"/>
      <c r="AS57" s="1305"/>
      <c r="AT57" s="1305"/>
      <c r="AU57" s="1305"/>
      <c r="AV57" s="1305"/>
      <c r="AW57" s="1305"/>
      <c r="AX57" s="1305"/>
      <c r="AY57" s="1305"/>
      <c r="AZ57" s="1305"/>
      <c r="BA57" s="1305"/>
      <c r="BB57" s="1305"/>
      <c r="BC57" s="1305"/>
      <c r="BD57" s="1305"/>
      <c r="BE57" s="1305"/>
      <c r="BF57" s="1305"/>
      <c r="BG57" s="1305"/>
      <c r="BH57" s="1305"/>
      <c r="BI57" s="1305"/>
      <c r="BJ57" s="1305"/>
      <c r="BK57" s="1305"/>
      <c r="BL57" s="1305"/>
      <c r="BM57" s="1305"/>
      <c r="BN57" s="1305"/>
      <c r="BO57" s="1305"/>
      <c r="BP57" s="1305"/>
      <c r="BQ57" s="1305"/>
      <c r="BR57" s="1305"/>
      <c r="BS57" s="1305"/>
      <c r="BT57" s="1305"/>
      <c r="BU57" s="1305"/>
      <c r="BV57" s="1305"/>
      <c r="BW57" s="1305"/>
      <c r="BX57" s="1305"/>
      <c r="BY57" s="1305"/>
      <c r="BZ57" s="1305"/>
      <c r="CA57" s="1305"/>
      <c r="CB57" s="1305"/>
      <c r="CC57" s="1305"/>
      <c r="CD57" s="1305"/>
      <c r="CE57" s="1305"/>
      <c r="CF57" s="1305"/>
      <c r="CG57" s="1305"/>
      <c r="CH57" s="1305"/>
      <c r="CI57" s="1305"/>
      <c r="CJ57" s="1305"/>
      <c r="CK57" s="1305"/>
      <c r="CL57" s="1305"/>
      <c r="CM57" s="1305"/>
      <c r="CN57" s="1305"/>
      <c r="CO57" s="1305"/>
      <c r="CP57" s="1305"/>
      <c r="CQ57" s="1305"/>
      <c r="CR57" s="1305"/>
      <c r="CS57" s="1305"/>
      <c r="CT57" s="1305"/>
      <c r="CU57" s="1305"/>
      <c r="CV57" s="1305"/>
      <c r="CW57" s="1305"/>
      <c r="CX57" s="1305"/>
      <c r="CY57" s="1305"/>
      <c r="CZ57" s="1305"/>
      <c r="DA57" s="1308"/>
    </row>
    <row r="58" spans="1:105" ht="11.25" customHeight="1" outlineLevel="1">
      <c r="A58" s="16">
        <v>200022</v>
      </c>
      <c r="B58" s="20" t="s">
        <v>199</v>
      </c>
      <c r="C58" s="20" t="s">
        <v>531</v>
      </c>
      <c r="D58" s="20" t="s">
        <v>1067</v>
      </c>
      <c r="E58" s="20" t="s">
        <v>203</v>
      </c>
      <c r="F58" s="21" t="s">
        <v>1295</v>
      </c>
      <c r="G58" s="21">
        <v>15</v>
      </c>
      <c r="H58" s="21">
        <v>57</v>
      </c>
      <c r="I58" s="21">
        <v>33</v>
      </c>
      <c r="J58" s="42">
        <v>105</v>
      </c>
      <c r="K58" s="21">
        <v>15</v>
      </c>
      <c r="L58" s="21">
        <v>57</v>
      </c>
      <c r="M58" s="21">
        <v>5</v>
      </c>
      <c r="N58" s="21">
        <v>28</v>
      </c>
      <c r="O58" s="21">
        <v>33</v>
      </c>
      <c r="P58" s="21">
        <v>0</v>
      </c>
      <c r="Q58" s="21"/>
      <c r="R58" s="20">
        <f t="shared" si="1"/>
        <v>105</v>
      </c>
      <c r="S58" s="22">
        <f t="shared" si="2"/>
        <v>200022</v>
      </c>
      <c r="T58" s="22">
        <f>COUNTIF($V$4:V58,V58)</f>
        <v>34</v>
      </c>
      <c r="U58" s="22" t="str">
        <f>IF(T58=1,COUNTIF($T$4:T58,1),"")</f>
        <v/>
      </c>
      <c r="V58" s="23" t="str">
        <f t="shared" si="3"/>
        <v>北区03認定こども園</v>
      </c>
      <c r="W58" s="23" t="str">
        <f t="shared" si="4"/>
        <v>札幌こばと保育園</v>
      </c>
      <c r="X58" s="24">
        <v>54</v>
      </c>
      <c r="Y58" s="30" t="str">
        <f t="shared" si="7"/>
        <v/>
      </c>
      <c r="Z58" s="1304" t="str">
        <f t="shared" si="7"/>
        <v>保育所型札幌北はぐはぐ認定こども園</v>
      </c>
      <c r="AA58" s="1304" t="str">
        <f t="shared" si="7"/>
        <v/>
      </c>
      <c r="AB58" s="1309" t="str">
        <f t="shared" si="7"/>
        <v/>
      </c>
      <c r="AC58" s="1309" t="str">
        <f t="shared" si="7"/>
        <v/>
      </c>
      <c r="AD58" s="1309" t="str">
        <f t="shared" si="7"/>
        <v/>
      </c>
      <c r="AE58" s="1309" t="str">
        <f t="shared" si="7"/>
        <v/>
      </c>
      <c r="AF58" s="1304" t="str">
        <f t="shared" si="7"/>
        <v/>
      </c>
      <c r="AG58" s="1309" t="str">
        <f t="shared" si="7"/>
        <v/>
      </c>
      <c r="AH58" s="1305" t="str">
        <f t="shared" si="7"/>
        <v/>
      </c>
      <c r="AI58" s="1305">
        <f t="shared" si="7"/>
        <v>0</v>
      </c>
      <c r="AJ58" s="1305"/>
      <c r="AK58" s="1305"/>
      <c r="AL58" s="1305"/>
      <c r="AM58" s="1305"/>
      <c r="AN58" s="1305"/>
      <c r="AO58" s="1305"/>
      <c r="AP58" s="1305"/>
      <c r="AQ58" s="1305"/>
      <c r="AR58" s="1305"/>
      <c r="AS58" s="1305"/>
      <c r="AT58" s="1305"/>
      <c r="AU58" s="1305"/>
      <c r="AV58" s="1305"/>
      <c r="AW58" s="1305"/>
      <c r="AX58" s="1305"/>
      <c r="AY58" s="1305"/>
      <c r="AZ58" s="1305"/>
      <c r="BA58" s="1305"/>
      <c r="BB58" s="1305"/>
      <c r="BC58" s="1305"/>
      <c r="BD58" s="1305"/>
      <c r="BE58" s="1305"/>
      <c r="BF58" s="1305"/>
      <c r="BG58" s="1305"/>
      <c r="BH58" s="1305"/>
      <c r="BI58" s="1305"/>
      <c r="BJ58" s="1305"/>
      <c r="BK58" s="1305"/>
      <c r="BL58" s="1305"/>
      <c r="BM58" s="1305"/>
      <c r="BN58" s="1305"/>
      <c r="BO58" s="1305"/>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8"/>
    </row>
    <row r="59" spans="1:105" ht="11.25" customHeight="1" outlineLevel="1">
      <c r="A59" s="16">
        <v>200023</v>
      </c>
      <c r="B59" s="20" t="s">
        <v>199</v>
      </c>
      <c r="C59" s="20" t="s">
        <v>531</v>
      </c>
      <c r="D59" s="20" t="s">
        <v>1067</v>
      </c>
      <c r="E59" s="20" t="s">
        <v>203</v>
      </c>
      <c r="F59" s="21" t="s">
        <v>1077</v>
      </c>
      <c r="G59" s="21">
        <v>15</v>
      </c>
      <c r="H59" s="21">
        <v>77</v>
      </c>
      <c r="I59" s="21">
        <v>63</v>
      </c>
      <c r="J59" s="42">
        <v>155</v>
      </c>
      <c r="K59" s="21">
        <v>15</v>
      </c>
      <c r="L59" s="21">
        <v>54</v>
      </c>
      <c r="M59" s="21">
        <v>10</v>
      </c>
      <c r="N59" s="21">
        <v>36</v>
      </c>
      <c r="O59" s="21">
        <v>46</v>
      </c>
      <c r="P59" s="21">
        <v>0</v>
      </c>
      <c r="Q59" s="21"/>
      <c r="R59" s="20">
        <f t="shared" si="1"/>
        <v>115</v>
      </c>
      <c r="S59" s="22">
        <f t="shared" si="2"/>
        <v>200023</v>
      </c>
      <c r="T59" s="22">
        <f>COUNTIF($V$4:V59,V59)</f>
        <v>35</v>
      </c>
      <c r="U59" s="22" t="str">
        <f>IF(T59=1,COUNTIF($T$4:T59,1),"")</f>
        <v/>
      </c>
      <c r="V59" s="23" t="str">
        <f t="shared" si="3"/>
        <v>北区03認定こども園</v>
      </c>
      <c r="W59" s="23" t="str">
        <f t="shared" si="4"/>
        <v>幌北中央保育園</v>
      </c>
      <c r="X59" s="24">
        <v>55</v>
      </c>
      <c r="Y59" s="30" t="str">
        <f t="shared" si="7"/>
        <v/>
      </c>
      <c r="Z59" s="1304" t="str">
        <f t="shared" si="7"/>
        <v>屯田南こども園</v>
      </c>
      <c r="AA59" s="1304" t="str">
        <f t="shared" si="7"/>
        <v/>
      </c>
      <c r="AB59" s="1309" t="str">
        <f t="shared" si="7"/>
        <v/>
      </c>
      <c r="AC59" s="1309" t="str">
        <f t="shared" si="7"/>
        <v/>
      </c>
      <c r="AD59" s="1309" t="str">
        <f t="shared" si="7"/>
        <v/>
      </c>
      <c r="AE59" s="1309" t="str">
        <f t="shared" si="7"/>
        <v/>
      </c>
      <c r="AF59" s="1309" t="str">
        <f t="shared" si="7"/>
        <v/>
      </c>
      <c r="AG59" s="1309" t="str">
        <f t="shared" si="7"/>
        <v/>
      </c>
      <c r="AH59" s="1305" t="str">
        <f t="shared" si="7"/>
        <v/>
      </c>
      <c r="AI59" s="1305">
        <f t="shared" si="7"/>
        <v>0</v>
      </c>
      <c r="AJ59" s="1305"/>
      <c r="AK59" s="1305"/>
      <c r="AL59" s="1305"/>
      <c r="AM59" s="1305"/>
      <c r="AN59" s="1305"/>
      <c r="AO59" s="1305"/>
      <c r="AP59" s="1305"/>
      <c r="AQ59" s="1305"/>
      <c r="AR59" s="1305"/>
      <c r="AS59" s="1305"/>
      <c r="AT59" s="1305"/>
      <c r="AU59" s="1305"/>
      <c r="AV59" s="1305"/>
      <c r="AW59" s="1305"/>
      <c r="AX59" s="1305"/>
      <c r="AY59" s="1305"/>
      <c r="AZ59" s="1305"/>
      <c r="BA59" s="1305"/>
      <c r="BB59" s="1305"/>
      <c r="BC59" s="1305"/>
      <c r="BD59" s="1305"/>
      <c r="BE59" s="1305"/>
      <c r="BF59" s="1305"/>
      <c r="BG59" s="1305"/>
      <c r="BH59" s="1305"/>
      <c r="BI59" s="1305"/>
      <c r="BJ59" s="1305"/>
      <c r="BK59" s="1305"/>
      <c r="BL59" s="1305"/>
      <c r="BM59" s="1305"/>
      <c r="BN59" s="1305"/>
      <c r="BO59" s="1305"/>
      <c r="BP59" s="1305"/>
      <c r="BQ59" s="1305"/>
      <c r="BR59" s="1305"/>
      <c r="BS59" s="1305"/>
      <c r="BT59" s="1305"/>
      <c r="BU59" s="1305"/>
      <c r="BV59" s="1305"/>
      <c r="BW59" s="1305"/>
      <c r="BX59" s="1305"/>
      <c r="BY59" s="1305"/>
      <c r="BZ59" s="1305"/>
      <c r="CA59" s="1305"/>
      <c r="CB59" s="1305"/>
      <c r="CC59" s="1305"/>
      <c r="CD59" s="1305"/>
      <c r="CE59" s="1305"/>
      <c r="CF59" s="1305"/>
      <c r="CG59" s="1305"/>
      <c r="CH59" s="1305"/>
      <c r="CI59" s="1305"/>
      <c r="CJ59" s="1305"/>
      <c r="CK59" s="1305"/>
      <c r="CL59" s="1305"/>
      <c r="CM59" s="1305"/>
      <c r="CN59" s="1305"/>
      <c r="CO59" s="1305"/>
      <c r="CP59" s="1305"/>
      <c r="CQ59" s="1305"/>
      <c r="CR59" s="1305"/>
      <c r="CS59" s="1305"/>
      <c r="CT59" s="1305"/>
      <c r="CU59" s="1305"/>
      <c r="CV59" s="1305"/>
      <c r="CW59" s="1305"/>
      <c r="CX59" s="1305"/>
      <c r="CY59" s="1305"/>
      <c r="CZ59" s="1305"/>
      <c r="DA59" s="1308"/>
    </row>
    <row r="60" spans="1:105" ht="11.25" customHeight="1" outlineLevel="1">
      <c r="A60" s="16">
        <v>200024</v>
      </c>
      <c r="B60" s="20" t="s">
        <v>199</v>
      </c>
      <c r="C60" s="20" t="s">
        <v>531</v>
      </c>
      <c r="D60" s="20" t="s">
        <v>1067</v>
      </c>
      <c r="E60" s="20" t="s">
        <v>203</v>
      </c>
      <c r="F60" s="21" t="s">
        <v>1423</v>
      </c>
      <c r="G60" s="21">
        <v>15</v>
      </c>
      <c r="H60" s="21">
        <v>48</v>
      </c>
      <c r="I60" s="21">
        <v>42</v>
      </c>
      <c r="J60" s="42">
        <v>105</v>
      </c>
      <c r="K60" s="21">
        <v>15</v>
      </c>
      <c r="L60" s="21">
        <v>48</v>
      </c>
      <c r="M60" s="21">
        <v>10</v>
      </c>
      <c r="N60" s="21">
        <v>32</v>
      </c>
      <c r="O60" s="21">
        <v>42</v>
      </c>
      <c r="P60" s="21">
        <v>0</v>
      </c>
      <c r="Q60" s="21"/>
      <c r="R60" s="20">
        <f t="shared" si="1"/>
        <v>105</v>
      </c>
      <c r="S60" s="22">
        <f t="shared" si="2"/>
        <v>200024</v>
      </c>
      <c r="T60" s="22">
        <f>COUNTIF($V$4:V60,V60)</f>
        <v>36</v>
      </c>
      <c r="U60" s="22" t="str">
        <f>IF(T60=1,COUNTIF($T$4:T60,1),"")</f>
        <v/>
      </c>
      <c r="V60" s="23" t="str">
        <f t="shared" si="3"/>
        <v>北区03認定こども園</v>
      </c>
      <c r="W60" s="23" t="str">
        <f t="shared" si="4"/>
        <v>新川北保育園</v>
      </c>
      <c r="X60" s="24">
        <v>56</v>
      </c>
      <c r="Y60" s="30" t="str">
        <f t="shared" si="7"/>
        <v/>
      </c>
      <c r="Z60" s="1304" t="str">
        <f t="shared" si="7"/>
        <v>認定こども園英伸幼稚学院</v>
      </c>
      <c r="AA60" s="1304" t="str">
        <f t="shared" si="7"/>
        <v/>
      </c>
      <c r="AB60" s="1309" t="str">
        <f t="shared" si="7"/>
        <v/>
      </c>
      <c r="AC60" s="1309" t="str">
        <f t="shared" si="7"/>
        <v/>
      </c>
      <c r="AD60" s="1309" t="str">
        <f t="shared" si="7"/>
        <v/>
      </c>
      <c r="AE60" s="1309" t="str">
        <f t="shared" si="7"/>
        <v/>
      </c>
      <c r="AF60" s="1309" t="str">
        <f t="shared" si="7"/>
        <v/>
      </c>
      <c r="AG60" s="1309" t="str">
        <f t="shared" si="7"/>
        <v/>
      </c>
      <c r="AH60" s="1305" t="str">
        <f t="shared" si="7"/>
        <v/>
      </c>
      <c r="AI60" s="1305">
        <f t="shared" si="7"/>
        <v>0</v>
      </c>
      <c r="AJ60" s="1305"/>
      <c r="AK60" s="1305"/>
      <c r="AL60" s="1305"/>
      <c r="AM60" s="1305"/>
      <c r="AN60" s="1305"/>
      <c r="AO60" s="1305"/>
      <c r="AP60" s="1305"/>
      <c r="AQ60" s="1305"/>
      <c r="AR60" s="1305"/>
      <c r="AS60" s="1305"/>
      <c r="AT60" s="1305"/>
      <c r="AU60" s="1305"/>
      <c r="AV60" s="1305"/>
      <c r="AW60" s="1305"/>
      <c r="AX60" s="1305"/>
      <c r="AY60" s="1305"/>
      <c r="AZ60" s="1305"/>
      <c r="BA60" s="1305"/>
      <c r="BB60" s="1305"/>
      <c r="BC60" s="1305"/>
      <c r="BD60" s="1305"/>
      <c r="BE60" s="1305"/>
      <c r="BF60" s="1305"/>
      <c r="BG60" s="1305"/>
      <c r="BH60" s="1305"/>
      <c r="BI60" s="1305"/>
      <c r="BJ60" s="1305"/>
      <c r="BK60" s="1305"/>
      <c r="BL60" s="1305"/>
      <c r="BM60" s="1305"/>
      <c r="BN60" s="1305"/>
      <c r="BO60" s="1305"/>
      <c r="BP60" s="1305"/>
      <c r="BQ60" s="1305"/>
      <c r="BR60" s="1305"/>
      <c r="BS60" s="1305"/>
      <c r="BT60" s="1305"/>
      <c r="BU60" s="1305"/>
      <c r="BV60" s="1305"/>
      <c r="BW60" s="1305"/>
      <c r="BX60" s="1305"/>
      <c r="BY60" s="1305"/>
      <c r="BZ60" s="1305"/>
      <c r="CA60" s="1305"/>
      <c r="CB60" s="1305"/>
      <c r="CC60" s="1305"/>
      <c r="CD60" s="1305"/>
      <c r="CE60" s="1305"/>
      <c r="CF60" s="1305"/>
      <c r="CG60" s="1305"/>
      <c r="CH60" s="1305"/>
      <c r="CI60" s="1305"/>
      <c r="CJ60" s="1305"/>
      <c r="CK60" s="1305"/>
      <c r="CL60" s="1305"/>
      <c r="CM60" s="1305"/>
      <c r="CN60" s="1305"/>
      <c r="CO60" s="1305"/>
      <c r="CP60" s="1305"/>
      <c r="CQ60" s="1305"/>
      <c r="CR60" s="1305"/>
      <c r="CS60" s="1305"/>
      <c r="CT60" s="1305"/>
      <c r="CU60" s="1305"/>
      <c r="CV60" s="1305"/>
      <c r="CW60" s="1305"/>
      <c r="CX60" s="1305"/>
      <c r="CY60" s="1305"/>
      <c r="CZ60" s="1305"/>
      <c r="DA60" s="1308"/>
    </row>
    <row r="61" spans="1:105" ht="11.25" customHeight="1" outlineLevel="1">
      <c r="A61" s="16">
        <v>200027</v>
      </c>
      <c r="B61" s="20" t="s">
        <v>199</v>
      </c>
      <c r="C61" s="20" t="s">
        <v>531</v>
      </c>
      <c r="D61" s="20" t="s">
        <v>1067</v>
      </c>
      <c r="E61" s="20" t="s">
        <v>203</v>
      </c>
      <c r="F61" s="21" t="s">
        <v>1424</v>
      </c>
      <c r="G61" s="21">
        <v>15</v>
      </c>
      <c r="H61" s="21">
        <v>47</v>
      </c>
      <c r="I61" s="21">
        <v>43</v>
      </c>
      <c r="J61" s="42">
        <v>105</v>
      </c>
      <c r="K61" s="21">
        <v>15</v>
      </c>
      <c r="L61" s="21">
        <v>47</v>
      </c>
      <c r="M61" s="21">
        <v>13</v>
      </c>
      <c r="N61" s="21">
        <v>30</v>
      </c>
      <c r="O61" s="21">
        <v>43</v>
      </c>
      <c r="P61" s="21">
        <v>0</v>
      </c>
      <c r="Q61" s="21"/>
      <c r="R61" s="20">
        <f t="shared" si="1"/>
        <v>105</v>
      </c>
      <c r="S61" s="22">
        <f t="shared" si="2"/>
        <v>200027</v>
      </c>
      <c r="T61" s="22">
        <f>COUNTIF($V$4:V61,V61)</f>
        <v>37</v>
      </c>
      <c r="U61" s="22" t="str">
        <f>IF(T61=1,COUNTIF($T$4:T61,1),"")</f>
        <v/>
      </c>
      <c r="V61" s="23" t="str">
        <f t="shared" si="3"/>
        <v>北区03認定こども園</v>
      </c>
      <c r="W61" s="23" t="str">
        <f t="shared" si="4"/>
        <v>あいの里保育園</v>
      </c>
      <c r="X61" s="24">
        <v>57</v>
      </c>
      <c r="Y61" s="30" t="str">
        <f t="shared" si="7"/>
        <v/>
      </c>
      <c r="Z61" s="1304" t="str">
        <f t="shared" si="7"/>
        <v/>
      </c>
      <c r="AA61" s="1304" t="str">
        <f t="shared" si="7"/>
        <v/>
      </c>
      <c r="AB61" s="1309" t="str">
        <f t="shared" si="7"/>
        <v/>
      </c>
      <c r="AC61" s="1309" t="str">
        <f t="shared" si="7"/>
        <v/>
      </c>
      <c r="AD61" s="1309" t="str">
        <f t="shared" si="7"/>
        <v/>
      </c>
      <c r="AE61" s="1309" t="str">
        <f t="shared" si="7"/>
        <v/>
      </c>
      <c r="AF61" s="1309" t="str">
        <f t="shared" si="7"/>
        <v/>
      </c>
      <c r="AG61" s="1309" t="str">
        <f t="shared" si="7"/>
        <v/>
      </c>
      <c r="AH61" s="1305" t="str">
        <f t="shared" si="7"/>
        <v/>
      </c>
      <c r="AI61" s="1305">
        <f t="shared" si="7"/>
        <v>0</v>
      </c>
      <c r="AJ61" s="1305"/>
      <c r="AK61" s="1305"/>
      <c r="AL61" s="1305"/>
      <c r="AM61" s="1305"/>
      <c r="AN61" s="1305"/>
      <c r="AO61" s="1305"/>
      <c r="AP61" s="1305"/>
      <c r="AQ61" s="1305"/>
      <c r="AR61" s="1305"/>
      <c r="AS61" s="1305"/>
      <c r="AT61" s="1305"/>
      <c r="AU61" s="1305"/>
      <c r="AV61" s="1305"/>
      <c r="AW61" s="1305"/>
      <c r="AX61" s="1305"/>
      <c r="AY61" s="1305"/>
      <c r="AZ61" s="1305"/>
      <c r="BA61" s="1305"/>
      <c r="BB61" s="1305"/>
      <c r="BC61" s="1305"/>
      <c r="BD61" s="1305"/>
      <c r="BE61" s="1305"/>
      <c r="BF61" s="1305"/>
      <c r="BG61" s="1305"/>
      <c r="BH61" s="1305"/>
      <c r="BI61" s="1305"/>
      <c r="BJ61" s="1305"/>
      <c r="BK61" s="1305"/>
      <c r="BL61" s="1305"/>
      <c r="BM61" s="1305"/>
      <c r="BN61" s="1305"/>
      <c r="BO61" s="1305"/>
      <c r="BP61" s="1305"/>
      <c r="BQ61" s="1305"/>
      <c r="BR61" s="1305"/>
      <c r="BS61" s="1305"/>
      <c r="BT61" s="1305"/>
      <c r="BU61" s="1305"/>
      <c r="BV61" s="1305"/>
      <c r="BW61" s="1305"/>
      <c r="BX61" s="1305"/>
      <c r="BY61" s="1305"/>
      <c r="BZ61" s="1305"/>
      <c r="CA61" s="1305"/>
      <c r="CB61" s="1305"/>
      <c r="CC61" s="1305"/>
      <c r="CD61" s="1305"/>
      <c r="CE61" s="1305"/>
      <c r="CF61" s="1305"/>
      <c r="CG61" s="1305"/>
      <c r="CH61" s="1305"/>
      <c r="CI61" s="1305"/>
      <c r="CJ61" s="1305"/>
      <c r="CK61" s="1305"/>
      <c r="CL61" s="1305"/>
      <c r="CM61" s="1305"/>
      <c r="CN61" s="1305"/>
      <c r="CO61" s="1305"/>
      <c r="CP61" s="1305"/>
      <c r="CQ61" s="1305"/>
      <c r="CR61" s="1305"/>
      <c r="CS61" s="1305"/>
      <c r="CT61" s="1305"/>
      <c r="CU61" s="1305"/>
      <c r="CV61" s="1305"/>
      <c r="CW61" s="1305"/>
      <c r="CX61" s="1305"/>
      <c r="CY61" s="1305"/>
      <c r="CZ61" s="1305"/>
      <c r="DA61" s="1308"/>
    </row>
    <row r="62" spans="1:105" ht="11.25" customHeight="1" outlineLevel="1">
      <c r="A62" s="16">
        <v>200028</v>
      </c>
      <c r="B62" s="20" t="s">
        <v>199</v>
      </c>
      <c r="C62" s="20" t="s">
        <v>531</v>
      </c>
      <c r="D62" s="20" t="s">
        <v>1067</v>
      </c>
      <c r="E62" s="20" t="s">
        <v>203</v>
      </c>
      <c r="F62" s="21" t="s">
        <v>1425</v>
      </c>
      <c r="G62" s="21">
        <v>6</v>
      </c>
      <c r="H62" s="21">
        <v>33</v>
      </c>
      <c r="I62" s="21">
        <v>27</v>
      </c>
      <c r="J62" s="42">
        <v>66</v>
      </c>
      <c r="K62" s="21">
        <v>6</v>
      </c>
      <c r="L62" s="21">
        <v>33</v>
      </c>
      <c r="M62" s="21">
        <v>7</v>
      </c>
      <c r="N62" s="21">
        <v>20</v>
      </c>
      <c r="O62" s="21">
        <v>27</v>
      </c>
      <c r="P62" s="21">
        <v>0</v>
      </c>
      <c r="Q62" s="21"/>
      <c r="R62" s="20">
        <f t="shared" si="1"/>
        <v>66</v>
      </c>
      <c r="S62" s="22">
        <f t="shared" si="2"/>
        <v>200028</v>
      </c>
      <c r="T62" s="22">
        <f>COUNTIF($V$4:V62,V62)</f>
        <v>38</v>
      </c>
      <c r="U62" s="22" t="str">
        <f>IF(T62=1,COUNTIF($T$4:T62,1),"")</f>
        <v/>
      </c>
      <c r="V62" s="23" t="str">
        <f t="shared" si="3"/>
        <v>北区03認定こども園</v>
      </c>
      <c r="W62" s="23" t="str">
        <f t="shared" si="4"/>
        <v>風の子保育園</v>
      </c>
      <c r="X62" s="24">
        <v>58</v>
      </c>
      <c r="Y62" s="30" t="str">
        <f t="shared" si="7"/>
        <v/>
      </c>
      <c r="Z62" s="1304" t="str">
        <f t="shared" si="7"/>
        <v/>
      </c>
      <c r="AA62" s="1304" t="str">
        <f t="shared" si="7"/>
        <v/>
      </c>
      <c r="AB62" s="1309" t="str">
        <f t="shared" si="7"/>
        <v/>
      </c>
      <c r="AC62" s="1309" t="str">
        <f t="shared" si="7"/>
        <v/>
      </c>
      <c r="AD62" s="1309" t="str">
        <f t="shared" si="7"/>
        <v/>
      </c>
      <c r="AE62" s="1309" t="str">
        <f t="shared" si="7"/>
        <v/>
      </c>
      <c r="AF62" s="1309" t="str">
        <f t="shared" si="7"/>
        <v/>
      </c>
      <c r="AG62" s="1309" t="str">
        <f t="shared" si="7"/>
        <v/>
      </c>
      <c r="AH62" s="1305" t="str">
        <f t="shared" si="7"/>
        <v/>
      </c>
      <c r="AI62" s="1305">
        <f t="shared" si="7"/>
        <v>0</v>
      </c>
      <c r="AJ62" s="1305"/>
      <c r="AK62" s="1305"/>
      <c r="AL62" s="1305"/>
      <c r="AM62" s="1305"/>
      <c r="AN62" s="1305"/>
      <c r="AO62" s="1305"/>
      <c r="AP62" s="1305"/>
      <c r="AQ62" s="1305"/>
      <c r="AR62" s="1305"/>
      <c r="AS62" s="1305"/>
      <c r="AT62" s="1305"/>
      <c r="AU62" s="1305"/>
      <c r="AV62" s="1305"/>
      <c r="AW62" s="1305"/>
      <c r="AX62" s="1305"/>
      <c r="AY62" s="1305"/>
      <c r="AZ62" s="1305"/>
      <c r="BA62" s="1305"/>
      <c r="BB62" s="1305"/>
      <c r="BC62" s="1305"/>
      <c r="BD62" s="1305"/>
      <c r="BE62" s="1305"/>
      <c r="BF62" s="1305"/>
      <c r="BG62" s="1305"/>
      <c r="BH62" s="1305"/>
      <c r="BI62" s="1305"/>
      <c r="BJ62" s="1305"/>
      <c r="BK62" s="1305"/>
      <c r="BL62" s="1305"/>
      <c r="BM62" s="1305"/>
      <c r="BN62" s="1305"/>
      <c r="BO62" s="1305"/>
      <c r="BP62" s="1305"/>
      <c r="BQ62" s="1305"/>
      <c r="BR62" s="1305"/>
      <c r="BS62" s="1305"/>
      <c r="BT62" s="1305"/>
      <c r="BU62" s="1305"/>
      <c r="BV62" s="1305"/>
      <c r="BW62" s="1305"/>
      <c r="BX62" s="1305"/>
      <c r="BY62" s="1305"/>
      <c r="BZ62" s="1305"/>
      <c r="CA62" s="1305"/>
      <c r="CB62" s="1305"/>
      <c r="CC62" s="1305"/>
      <c r="CD62" s="1305"/>
      <c r="CE62" s="1305"/>
      <c r="CF62" s="1305"/>
      <c r="CG62" s="1305"/>
      <c r="CH62" s="1305"/>
      <c r="CI62" s="1305"/>
      <c r="CJ62" s="1305"/>
      <c r="CK62" s="1305"/>
      <c r="CL62" s="1305"/>
      <c r="CM62" s="1305"/>
      <c r="CN62" s="1305"/>
      <c r="CO62" s="1305"/>
      <c r="CP62" s="1305"/>
      <c r="CQ62" s="1305"/>
      <c r="CR62" s="1305"/>
      <c r="CS62" s="1305"/>
      <c r="CT62" s="1305"/>
      <c r="CU62" s="1305"/>
      <c r="CV62" s="1305"/>
      <c r="CW62" s="1305"/>
      <c r="CX62" s="1305"/>
      <c r="CY62" s="1305"/>
      <c r="CZ62" s="1305"/>
      <c r="DA62" s="1308"/>
    </row>
    <row r="63" spans="1:105" ht="11.25" customHeight="1" outlineLevel="1">
      <c r="A63" s="16">
        <v>200035</v>
      </c>
      <c r="B63" s="20" t="s">
        <v>199</v>
      </c>
      <c r="C63" s="20" t="s">
        <v>531</v>
      </c>
      <c r="D63" s="20" t="s">
        <v>1067</v>
      </c>
      <c r="E63" s="20" t="s">
        <v>203</v>
      </c>
      <c r="F63" s="21" t="s">
        <v>1296</v>
      </c>
      <c r="G63" s="21">
        <v>15</v>
      </c>
      <c r="H63" s="21">
        <v>36</v>
      </c>
      <c r="I63" s="21">
        <v>34</v>
      </c>
      <c r="J63" s="42">
        <v>85</v>
      </c>
      <c r="K63" s="21">
        <v>15</v>
      </c>
      <c r="L63" s="21">
        <v>36</v>
      </c>
      <c r="M63" s="21">
        <v>11</v>
      </c>
      <c r="N63" s="21">
        <v>23</v>
      </c>
      <c r="O63" s="21">
        <v>34</v>
      </c>
      <c r="P63" s="21">
        <v>0</v>
      </c>
      <c r="Q63" s="21"/>
      <c r="R63" s="20">
        <f t="shared" si="1"/>
        <v>85</v>
      </c>
      <c r="S63" s="22">
        <f t="shared" si="2"/>
        <v>200035</v>
      </c>
      <c r="T63" s="22">
        <f>COUNTIF($V$4:V63,V63)</f>
        <v>39</v>
      </c>
      <c r="U63" s="22" t="str">
        <f>IF(T63=1,COUNTIF($T$4:T63,1),"")</f>
        <v/>
      </c>
      <c r="V63" s="23" t="str">
        <f t="shared" si="3"/>
        <v>北区03認定こども園</v>
      </c>
      <c r="W63" s="23" t="str">
        <f t="shared" si="4"/>
        <v>新琴似中央保育園</v>
      </c>
      <c r="X63" s="24">
        <v>59</v>
      </c>
      <c r="Y63" s="30" t="str">
        <f t="shared" si="7"/>
        <v/>
      </c>
      <c r="Z63" s="1304" t="str">
        <f t="shared" si="7"/>
        <v/>
      </c>
      <c r="AA63" s="1304" t="str">
        <f t="shared" si="7"/>
        <v/>
      </c>
      <c r="AB63" s="1309" t="str">
        <f t="shared" si="7"/>
        <v/>
      </c>
      <c r="AC63" s="1309" t="str">
        <f t="shared" si="7"/>
        <v/>
      </c>
      <c r="AD63" s="1309" t="str">
        <f t="shared" si="7"/>
        <v/>
      </c>
      <c r="AE63" s="1309" t="str">
        <f t="shared" si="7"/>
        <v/>
      </c>
      <c r="AF63" s="1309" t="str">
        <f t="shared" si="7"/>
        <v/>
      </c>
      <c r="AG63" s="1309" t="str">
        <f t="shared" si="7"/>
        <v/>
      </c>
      <c r="AH63" s="1305" t="str">
        <f t="shared" si="7"/>
        <v/>
      </c>
      <c r="AI63" s="1305">
        <f t="shared" si="7"/>
        <v>0</v>
      </c>
      <c r="AJ63" s="1305"/>
      <c r="AK63" s="1305"/>
      <c r="AL63" s="1305"/>
      <c r="AM63" s="1305"/>
      <c r="AN63" s="1305"/>
      <c r="AO63" s="1305"/>
      <c r="AP63" s="1305"/>
      <c r="AQ63" s="1305"/>
      <c r="AR63" s="1305"/>
      <c r="AS63" s="1305"/>
      <c r="AT63" s="1305"/>
      <c r="AU63" s="1305"/>
      <c r="AV63" s="1305"/>
      <c r="AW63" s="1305"/>
      <c r="AX63" s="1305"/>
      <c r="AY63" s="1305"/>
      <c r="AZ63" s="1305"/>
      <c r="BA63" s="1305"/>
      <c r="BB63" s="1305"/>
      <c r="BC63" s="1305"/>
      <c r="BD63" s="1305"/>
      <c r="BE63" s="1305"/>
      <c r="BF63" s="1305"/>
      <c r="BG63" s="1305"/>
      <c r="BH63" s="1305"/>
      <c r="BI63" s="1305"/>
      <c r="BJ63" s="1305"/>
      <c r="BK63" s="1305"/>
      <c r="BL63" s="1305"/>
      <c r="BM63" s="1305"/>
      <c r="BN63" s="1305"/>
      <c r="BO63" s="1305"/>
      <c r="BP63" s="1305"/>
      <c r="BQ63" s="1305"/>
      <c r="BR63" s="1305"/>
      <c r="BS63" s="1305"/>
      <c r="BT63" s="1305"/>
      <c r="BU63" s="1305"/>
      <c r="BV63" s="1305"/>
      <c r="BW63" s="1305"/>
      <c r="BX63" s="1305"/>
      <c r="BY63" s="1305"/>
      <c r="BZ63" s="1305"/>
      <c r="CA63" s="1305"/>
      <c r="CB63" s="1305"/>
      <c r="CC63" s="1305"/>
      <c r="CD63" s="1305"/>
      <c r="CE63" s="1305"/>
      <c r="CF63" s="1305"/>
      <c r="CG63" s="1305"/>
      <c r="CH63" s="1305"/>
      <c r="CI63" s="1305"/>
      <c r="CJ63" s="1305"/>
      <c r="CK63" s="1305"/>
      <c r="CL63" s="1305"/>
      <c r="CM63" s="1305"/>
      <c r="CN63" s="1305"/>
      <c r="CO63" s="1305"/>
      <c r="CP63" s="1305"/>
      <c r="CQ63" s="1305"/>
      <c r="CR63" s="1305"/>
      <c r="CS63" s="1305"/>
      <c r="CT63" s="1305"/>
      <c r="CU63" s="1305"/>
      <c r="CV63" s="1305"/>
      <c r="CW63" s="1305"/>
      <c r="CX63" s="1305"/>
      <c r="CY63" s="1305"/>
      <c r="CZ63" s="1305"/>
      <c r="DA63" s="1308"/>
    </row>
    <row r="64" spans="1:105" ht="11.25" customHeight="1" outlineLevel="1">
      <c r="A64" s="16">
        <v>200036</v>
      </c>
      <c r="B64" s="20" t="s">
        <v>199</v>
      </c>
      <c r="C64" s="20" t="s">
        <v>531</v>
      </c>
      <c r="D64" s="20" t="s">
        <v>1067</v>
      </c>
      <c r="E64" s="20" t="s">
        <v>203</v>
      </c>
      <c r="F64" s="21" t="s">
        <v>1082</v>
      </c>
      <c r="G64" s="21">
        <v>10</v>
      </c>
      <c r="H64" s="21">
        <v>60</v>
      </c>
      <c r="I64" s="21">
        <v>30</v>
      </c>
      <c r="J64" s="42">
        <v>100</v>
      </c>
      <c r="K64" s="21">
        <v>10</v>
      </c>
      <c r="L64" s="21">
        <v>60</v>
      </c>
      <c r="M64" s="21">
        <v>5</v>
      </c>
      <c r="N64" s="21">
        <v>25</v>
      </c>
      <c r="O64" s="21">
        <v>30</v>
      </c>
      <c r="P64" s="21">
        <v>0</v>
      </c>
      <c r="Q64" s="21"/>
      <c r="R64" s="20">
        <f t="shared" si="1"/>
        <v>100</v>
      </c>
      <c r="S64" s="22">
        <f t="shared" si="2"/>
        <v>200036</v>
      </c>
      <c r="T64" s="22">
        <f>COUNTIF($V$4:V64,V64)</f>
        <v>40</v>
      </c>
      <c r="U64" s="22" t="str">
        <f>IF(T64=1,COUNTIF($T$4:T64,1),"")</f>
        <v/>
      </c>
      <c r="V64" s="23" t="str">
        <f t="shared" si="3"/>
        <v>北区03認定こども園</v>
      </c>
      <c r="W64" s="23" t="str">
        <f t="shared" si="4"/>
        <v>屯田桃の花こども園</v>
      </c>
      <c r="X64" s="24">
        <v>60</v>
      </c>
      <c r="Y64" s="30" t="str">
        <f t="shared" si="7"/>
        <v/>
      </c>
      <c r="Z64" s="1304" t="str">
        <f t="shared" si="7"/>
        <v/>
      </c>
      <c r="AA64" s="1304" t="str">
        <f t="shared" si="7"/>
        <v/>
      </c>
      <c r="AB64" s="1309" t="str">
        <f t="shared" si="7"/>
        <v/>
      </c>
      <c r="AC64" s="1309" t="str">
        <f t="shared" si="7"/>
        <v/>
      </c>
      <c r="AD64" s="1309" t="str">
        <f t="shared" si="7"/>
        <v/>
      </c>
      <c r="AE64" s="1309" t="str">
        <f t="shared" si="7"/>
        <v/>
      </c>
      <c r="AF64" s="1309" t="str">
        <f t="shared" si="7"/>
        <v/>
      </c>
      <c r="AG64" s="1309" t="str">
        <f t="shared" si="7"/>
        <v/>
      </c>
      <c r="AH64" s="1305" t="str">
        <f t="shared" si="7"/>
        <v/>
      </c>
      <c r="AI64" s="1305">
        <f t="shared" si="7"/>
        <v>0</v>
      </c>
      <c r="AJ64" s="1305"/>
      <c r="AK64" s="1305"/>
      <c r="AL64" s="1305"/>
      <c r="AM64" s="1305"/>
      <c r="AN64" s="1305"/>
      <c r="AO64" s="1305"/>
      <c r="AP64" s="1305"/>
      <c r="AQ64" s="1305"/>
      <c r="AR64" s="1305"/>
      <c r="AS64" s="1305"/>
      <c r="AT64" s="1305"/>
      <c r="AU64" s="1305"/>
      <c r="AV64" s="1305"/>
      <c r="AW64" s="1305"/>
      <c r="AX64" s="1305"/>
      <c r="AY64" s="1305"/>
      <c r="AZ64" s="1305"/>
      <c r="BA64" s="1305"/>
      <c r="BB64" s="1305"/>
      <c r="BC64" s="1305"/>
      <c r="BD64" s="1305"/>
      <c r="BE64" s="1305"/>
      <c r="BF64" s="1305"/>
      <c r="BG64" s="1305"/>
      <c r="BH64" s="1305"/>
      <c r="BI64" s="1305"/>
      <c r="BJ64" s="1305"/>
      <c r="BK64" s="1305"/>
      <c r="BL64" s="1305"/>
      <c r="BM64" s="1305"/>
      <c r="BN64" s="1305"/>
      <c r="BO64" s="1305"/>
      <c r="BP64" s="1305"/>
      <c r="BQ64" s="1305"/>
      <c r="BR64" s="1305"/>
      <c r="BS64" s="1305"/>
      <c r="BT64" s="1305"/>
      <c r="BU64" s="1305"/>
      <c r="BV64" s="1305"/>
      <c r="BW64" s="1305"/>
      <c r="BX64" s="1305"/>
      <c r="BY64" s="1305"/>
      <c r="BZ64" s="1305"/>
      <c r="CA64" s="1305"/>
      <c r="CB64" s="1305"/>
      <c r="CC64" s="1305"/>
      <c r="CD64" s="1305"/>
      <c r="CE64" s="1305"/>
      <c r="CF64" s="1305"/>
      <c r="CG64" s="1305"/>
      <c r="CH64" s="1305"/>
      <c r="CI64" s="1305"/>
      <c r="CJ64" s="1305"/>
      <c r="CK64" s="1305"/>
      <c r="CL64" s="1305"/>
      <c r="CM64" s="1305"/>
      <c r="CN64" s="1305"/>
      <c r="CO64" s="1305"/>
      <c r="CP64" s="1305"/>
      <c r="CQ64" s="1305"/>
      <c r="CR64" s="1305"/>
      <c r="CS64" s="1305"/>
      <c r="CT64" s="1305"/>
      <c r="CU64" s="1305"/>
      <c r="CV64" s="1305"/>
      <c r="CW64" s="1305"/>
      <c r="CX64" s="1305"/>
      <c r="CY64" s="1305"/>
      <c r="CZ64" s="1305"/>
      <c r="DA64" s="1308"/>
    </row>
    <row r="65" spans="1:105" ht="11.25" customHeight="1" outlineLevel="1">
      <c r="A65" s="16">
        <v>200037</v>
      </c>
      <c r="B65" s="20" t="s">
        <v>199</v>
      </c>
      <c r="C65" s="20" t="s">
        <v>531</v>
      </c>
      <c r="D65" s="20" t="s">
        <v>1067</v>
      </c>
      <c r="E65" s="20" t="s">
        <v>203</v>
      </c>
      <c r="F65" s="21" t="s">
        <v>1297</v>
      </c>
      <c r="G65" s="21">
        <v>9</v>
      </c>
      <c r="H65" s="21">
        <v>57</v>
      </c>
      <c r="I65" s="21">
        <v>43</v>
      </c>
      <c r="J65" s="42">
        <v>109</v>
      </c>
      <c r="K65" s="21">
        <v>9</v>
      </c>
      <c r="L65" s="21">
        <v>51</v>
      </c>
      <c r="M65" s="21">
        <v>5</v>
      </c>
      <c r="N65" s="21">
        <v>34</v>
      </c>
      <c r="O65" s="21">
        <v>39</v>
      </c>
      <c r="P65" s="21">
        <v>0</v>
      </c>
      <c r="Q65" s="21"/>
      <c r="R65" s="20">
        <f t="shared" si="1"/>
        <v>99</v>
      </c>
      <c r="S65" s="22">
        <f t="shared" si="2"/>
        <v>200037</v>
      </c>
      <c r="T65" s="22">
        <f>COUNTIF($V$4:V65,V65)</f>
        <v>41</v>
      </c>
      <c r="U65" s="22" t="str">
        <f>IF(T65=1,COUNTIF($T$4:T65,1),"")</f>
        <v/>
      </c>
      <c r="V65" s="23" t="str">
        <f t="shared" si="3"/>
        <v>北区03認定こども園</v>
      </c>
      <c r="W65" s="23" t="str">
        <f t="shared" si="4"/>
        <v>認定こども園あいの里せせらぎ保育園</v>
      </c>
      <c r="X65" s="24">
        <v>61</v>
      </c>
      <c r="Y65" s="30" t="str">
        <f t="shared" si="7"/>
        <v/>
      </c>
      <c r="Z65" s="1304" t="str">
        <f t="shared" si="7"/>
        <v/>
      </c>
      <c r="AA65" s="1304" t="str">
        <f t="shared" si="7"/>
        <v/>
      </c>
      <c r="AB65" s="1309" t="str">
        <f t="shared" si="7"/>
        <v/>
      </c>
      <c r="AC65" s="1309" t="str">
        <f t="shared" si="7"/>
        <v/>
      </c>
      <c r="AD65" s="1309" t="str">
        <f t="shared" si="7"/>
        <v/>
      </c>
      <c r="AE65" s="1309" t="str">
        <f t="shared" si="7"/>
        <v/>
      </c>
      <c r="AF65" s="1309" t="str">
        <f t="shared" si="7"/>
        <v/>
      </c>
      <c r="AG65" s="1309" t="str">
        <f t="shared" si="7"/>
        <v/>
      </c>
      <c r="AH65" s="1305" t="str">
        <f t="shared" si="7"/>
        <v/>
      </c>
      <c r="AI65" s="1305">
        <f t="shared" si="7"/>
        <v>0</v>
      </c>
      <c r="AJ65" s="1305"/>
      <c r="AK65" s="1305"/>
      <c r="AL65" s="1305"/>
      <c r="AM65" s="1305"/>
      <c r="AN65" s="1305"/>
      <c r="AO65" s="1305"/>
      <c r="AP65" s="1305"/>
      <c r="AQ65" s="1305"/>
      <c r="AR65" s="1305"/>
      <c r="AS65" s="1305"/>
      <c r="AT65" s="1305"/>
      <c r="AU65" s="1305"/>
      <c r="AV65" s="1305"/>
      <c r="AW65" s="1305"/>
      <c r="AX65" s="1305"/>
      <c r="AY65" s="1305"/>
      <c r="AZ65" s="1305"/>
      <c r="BA65" s="1305"/>
      <c r="BB65" s="1305"/>
      <c r="BC65" s="1305"/>
      <c r="BD65" s="1305"/>
      <c r="BE65" s="1305"/>
      <c r="BF65" s="1305"/>
      <c r="BG65" s="1305"/>
      <c r="BH65" s="1305"/>
      <c r="BI65" s="1305"/>
      <c r="BJ65" s="1305"/>
      <c r="BK65" s="1305"/>
      <c r="BL65" s="1305"/>
      <c r="BM65" s="1305"/>
      <c r="BN65" s="1305"/>
      <c r="BO65" s="1305"/>
      <c r="BP65" s="1305"/>
      <c r="BQ65" s="1305"/>
      <c r="BR65" s="1305"/>
      <c r="BS65" s="1305"/>
      <c r="BT65" s="1305"/>
      <c r="BU65" s="1305"/>
      <c r="BV65" s="1305"/>
      <c r="BW65" s="1305"/>
      <c r="BX65" s="1305"/>
      <c r="BY65" s="1305"/>
      <c r="BZ65" s="1305"/>
      <c r="CA65" s="1305"/>
      <c r="CB65" s="1305"/>
      <c r="CC65" s="1305"/>
      <c r="CD65" s="1305"/>
      <c r="CE65" s="1305"/>
      <c r="CF65" s="1305"/>
      <c r="CG65" s="1305"/>
      <c r="CH65" s="1305"/>
      <c r="CI65" s="1305"/>
      <c r="CJ65" s="1305"/>
      <c r="CK65" s="1305"/>
      <c r="CL65" s="1305"/>
      <c r="CM65" s="1305"/>
      <c r="CN65" s="1305"/>
      <c r="CO65" s="1305"/>
      <c r="CP65" s="1305"/>
      <c r="CQ65" s="1305"/>
      <c r="CR65" s="1305"/>
      <c r="CS65" s="1305"/>
      <c r="CT65" s="1305"/>
      <c r="CU65" s="1305"/>
      <c r="CV65" s="1305"/>
      <c r="CW65" s="1305"/>
      <c r="CX65" s="1305"/>
      <c r="CY65" s="1305"/>
      <c r="CZ65" s="1305"/>
      <c r="DA65" s="1308"/>
    </row>
    <row r="66" spans="1:105" ht="11.25" customHeight="1" outlineLevel="1">
      <c r="A66" s="16">
        <v>200039</v>
      </c>
      <c r="B66" s="20" t="s">
        <v>199</v>
      </c>
      <c r="C66" s="20" t="s">
        <v>531</v>
      </c>
      <c r="D66" s="20" t="s">
        <v>1067</v>
      </c>
      <c r="E66" s="20" t="s">
        <v>203</v>
      </c>
      <c r="F66" s="21" t="s">
        <v>1083</v>
      </c>
      <c r="G66" s="21">
        <v>15</v>
      </c>
      <c r="H66" s="21">
        <v>48</v>
      </c>
      <c r="I66" s="21">
        <v>42</v>
      </c>
      <c r="J66" s="42">
        <v>105</v>
      </c>
      <c r="K66" s="21">
        <v>15</v>
      </c>
      <c r="L66" s="21">
        <v>48</v>
      </c>
      <c r="M66" s="21">
        <v>10</v>
      </c>
      <c r="N66" s="21">
        <v>32</v>
      </c>
      <c r="O66" s="21">
        <v>42</v>
      </c>
      <c r="P66" s="21">
        <v>0</v>
      </c>
      <c r="Q66" s="21"/>
      <c r="R66" s="20">
        <f t="shared" si="1"/>
        <v>105</v>
      </c>
      <c r="S66" s="22">
        <f t="shared" si="2"/>
        <v>200039</v>
      </c>
      <c r="T66" s="22">
        <f>COUNTIF($V$4:V66,V66)</f>
        <v>42</v>
      </c>
      <c r="U66" s="22" t="str">
        <f>IF(T66=1,COUNTIF($T$4:T66,1),"")</f>
        <v/>
      </c>
      <c r="V66" s="23" t="str">
        <f t="shared" si="3"/>
        <v>北区03認定こども園</v>
      </c>
      <c r="W66" s="23" t="str">
        <f t="shared" si="4"/>
        <v>札幌未来保育園</v>
      </c>
      <c r="X66" s="24">
        <v>62</v>
      </c>
      <c r="Y66" s="30" t="str">
        <f t="shared" si="7"/>
        <v/>
      </c>
      <c r="Z66" s="1304" t="str">
        <f t="shared" si="7"/>
        <v/>
      </c>
      <c r="AA66" s="1304" t="str">
        <f t="shared" si="7"/>
        <v/>
      </c>
      <c r="AB66" s="1309" t="str">
        <f t="shared" si="7"/>
        <v/>
      </c>
      <c r="AC66" s="1309" t="str">
        <f t="shared" si="7"/>
        <v/>
      </c>
      <c r="AD66" s="1309" t="str">
        <f t="shared" si="7"/>
        <v/>
      </c>
      <c r="AE66" s="1309" t="str">
        <f t="shared" si="7"/>
        <v/>
      </c>
      <c r="AF66" s="1309" t="str">
        <f t="shared" si="7"/>
        <v/>
      </c>
      <c r="AG66" s="1309" t="str">
        <f t="shared" si="7"/>
        <v/>
      </c>
      <c r="AH66" s="1305" t="str">
        <f t="shared" si="7"/>
        <v/>
      </c>
      <c r="AI66" s="1305">
        <f t="shared" si="7"/>
        <v>0</v>
      </c>
      <c r="AJ66" s="1305"/>
      <c r="AK66" s="1305"/>
      <c r="AL66" s="1305"/>
      <c r="AM66" s="1305"/>
      <c r="AN66" s="1305"/>
      <c r="AO66" s="1305"/>
      <c r="AP66" s="1305"/>
      <c r="AQ66" s="1305"/>
      <c r="AR66" s="1305"/>
      <c r="AS66" s="1305"/>
      <c r="AT66" s="1305"/>
      <c r="AU66" s="1305"/>
      <c r="AV66" s="1305"/>
      <c r="AW66" s="1305"/>
      <c r="AX66" s="1305"/>
      <c r="AY66" s="1305"/>
      <c r="AZ66" s="1305"/>
      <c r="BA66" s="1305"/>
      <c r="BB66" s="1305"/>
      <c r="BC66" s="1305"/>
      <c r="BD66" s="1305"/>
      <c r="BE66" s="1305"/>
      <c r="BF66" s="1305"/>
      <c r="BG66" s="1305"/>
      <c r="BH66" s="1305"/>
      <c r="BI66" s="1305"/>
      <c r="BJ66" s="1305"/>
      <c r="BK66" s="1305"/>
      <c r="BL66" s="1305"/>
      <c r="BM66" s="1305"/>
      <c r="BN66" s="1305"/>
      <c r="BO66" s="1305"/>
      <c r="BP66" s="1305"/>
      <c r="BQ66" s="1305"/>
      <c r="BR66" s="1305"/>
      <c r="BS66" s="1305"/>
      <c r="BT66" s="1305"/>
      <c r="BU66" s="1305"/>
      <c r="BV66" s="1305"/>
      <c r="BW66" s="1305"/>
      <c r="BX66" s="1305"/>
      <c r="BY66" s="1305"/>
      <c r="BZ66" s="1305"/>
      <c r="CA66" s="1305"/>
      <c r="CB66" s="1305"/>
      <c r="CC66" s="1305"/>
      <c r="CD66" s="1305"/>
      <c r="CE66" s="1305"/>
      <c r="CF66" s="1305"/>
      <c r="CG66" s="1305"/>
      <c r="CH66" s="1305"/>
      <c r="CI66" s="1305"/>
      <c r="CJ66" s="1305"/>
      <c r="CK66" s="1305"/>
      <c r="CL66" s="1305"/>
      <c r="CM66" s="1305"/>
      <c r="CN66" s="1305"/>
      <c r="CO66" s="1305"/>
      <c r="CP66" s="1305"/>
      <c r="CQ66" s="1305"/>
      <c r="CR66" s="1305"/>
      <c r="CS66" s="1305"/>
      <c r="CT66" s="1305"/>
      <c r="CU66" s="1305"/>
      <c r="CV66" s="1305"/>
      <c r="CW66" s="1305"/>
      <c r="CX66" s="1305"/>
      <c r="CY66" s="1305"/>
      <c r="CZ66" s="1305"/>
      <c r="DA66" s="1308"/>
    </row>
    <row r="67" spans="1:105" ht="11.25" customHeight="1" outlineLevel="1">
      <c r="A67" s="16">
        <v>200040</v>
      </c>
      <c r="B67" s="20" t="s">
        <v>199</v>
      </c>
      <c r="C67" s="20" t="s">
        <v>531</v>
      </c>
      <c r="D67" s="20" t="s">
        <v>1067</v>
      </c>
      <c r="E67" s="20" t="s">
        <v>203</v>
      </c>
      <c r="F67" s="21" t="s">
        <v>1084</v>
      </c>
      <c r="G67" s="21">
        <v>15</v>
      </c>
      <c r="H67" s="21">
        <v>39</v>
      </c>
      <c r="I67" s="21">
        <v>36</v>
      </c>
      <c r="J67" s="42">
        <v>90</v>
      </c>
      <c r="K67" s="21">
        <v>15</v>
      </c>
      <c r="L67" s="21">
        <v>39</v>
      </c>
      <c r="M67" s="21">
        <v>12</v>
      </c>
      <c r="N67" s="21">
        <v>24</v>
      </c>
      <c r="O67" s="21">
        <v>36</v>
      </c>
      <c r="P67" s="21">
        <v>0</v>
      </c>
      <c r="Q67" s="21"/>
      <c r="R67" s="20">
        <f t="shared" si="1"/>
        <v>90</v>
      </c>
      <c r="S67" s="22">
        <f t="shared" si="2"/>
        <v>200040</v>
      </c>
      <c r="T67" s="22">
        <f>COUNTIF($V$4:V67,V67)</f>
        <v>43</v>
      </c>
      <c r="U67" s="22" t="str">
        <f>IF(T67=1,COUNTIF($T$4:T67,1),"")</f>
        <v/>
      </c>
      <c r="V67" s="23" t="str">
        <f t="shared" si="3"/>
        <v>北区03認定こども園</v>
      </c>
      <c r="W67" s="23" t="str">
        <f t="shared" si="4"/>
        <v>エンジェル保育園</v>
      </c>
      <c r="X67" s="24">
        <v>63</v>
      </c>
      <c r="Y67" s="30" t="str">
        <f t="shared" si="7"/>
        <v/>
      </c>
      <c r="Z67" s="1304" t="str">
        <f t="shared" si="7"/>
        <v/>
      </c>
      <c r="AA67" s="1304" t="str">
        <f t="shared" si="7"/>
        <v/>
      </c>
      <c r="AB67" s="1309" t="str">
        <f t="shared" si="7"/>
        <v/>
      </c>
      <c r="AC67" s="1309" t="str">
        <f t="shared" si="7"/>
        <v/>
      </c>
      <c r="AD67" s="1309" t="str">
        <f t="shared" si="7"/>
        <v/>
      </c>
      <c r="AE67" s="1309" t="str">
        <f t="shared" si="7"/>
        <v/>
      </c>
      <c r="AF67" s="1309" t="str">
        <f t="shared" si="7"/>
        <v/>
      </c>
      <c r="AG67" s="1309" t="str">
        <f t="shared" si="7"/>
        <v/>
      </c>
      <c r="AH67" s="1305" t="str">
        <f t="shared" si="7"/>
        <v/>
      </c>
      <c r="AI67" s="1305">
        <f t="shared" si="7"/>
        <v>0</v>
      </c>
      <c r="AJ67" s="1305"/>
      <c r="AK67" s="1305"/>
      <c r="AL67" s="1305"/>
      <c r="AM67" s="1305"/>
      <c r="AN67" s="1305"/>
      <c r="AO67" s="1305"/>
      <c r="AP67" s="1305"/>
      <c r="AQ67" s="1305"/>
      <c r="AR67" s="1305"/>
      <c r="AS67" s="1305"/>
      <c r="AT67" s="1305"/>
      <c r="AU67" s="1305"/>
      <c r="AV67" s="1305"/>
      <c r="AW67" s="1305"/>
      <c r="AX67" s="1305"/>
      <c r="AY67" s="1305"/>
      <c r="AZ67" s="1305"/>
      <c r="BA67" s="1305"/>
      <c r="BB67" s="1305"/>
      <c r="BC67" s="1305"/>
      <c r="BD67" s="1305"/>
      <c r="BE67" s="1305"/>
      <c r="BF67" s="1305"/>
      <c r="BG67" s="1305"/>
      <c r="BH67" s="1305"/>
      <c r="BI67" s="1305"/>
      <c r="BJ67" s="1305"/>
      <c r="BK67" s="1305"/>
      <c r="BL67" s="1305"/>
      <c r="BM67" s="1305"/>
      <c r="BN67" s="1305"/>
      <c r="BO67" s="1305"/>
      <c r="BP67" s="1305"/>
      <c r="BQ67" s="1305"/>
      <c r="BR67" s="1305"/>
      <c r="BS67" s="1305"/>
      <c r="BT67" s="1305"/>
      <c r="BU67" s="1305"/>
      <c r="BV67" s="1305"/>
      <c r="BW67" s="1305"/>
      <c r="BX67" s="1305"/>
      <c r="BY67" s="1305"/>
      <c r="BZ67" s="1305"/>
      <c r="CA67" s="1305"/>
      <c r="CB67" s="1305"/>
      <c r="CC67" s="1305"/>
      <c r="CD67" s="1305"/>
      <c r="CE67" s="1305"/>
      <c r="CF67" s="1305"/>
      <c r="CG67" s="1305"/>
      <c r="CH67" s="1305"/>
      <c r="CI67" s="1305"/>
      <c r="CJ67" s="1305"/>
      <c r="CK67" s="1305"/>
      <c r="CL67" s="1305"/>
      <c r="CM67" s="1305"/>
      <c r="CN67" s="1305"/>
      <c r="CO67" s="1305"/>
      <c r="CP67" s="1305"/>
      <c r="CQ67" s="1305"/>
      <c r="CR67" s="1305"/>
      <c r="CS67" s="1305"/>
      <c r="CT67" s="1305"/>
      <c r="CU67" s="1305"/>
      <c r="CV67" s="1305"/>
      <c r="CW67" s="1305"/>
      <c r="CX67" s="1305"/>
      <c r="CY67" s="1305"/>
      <c r="CZ67" s="1305"/>
      <c r="DA67" s="1308"/>
    </row>
    <row r="68" spans="1:105" ht="11.25" customHeight="1" outlineLevel="1">
      <c r="A68" s="16">
        <v>200063</v>
      </c>
      <c r="B68" s="20" t="s">
        <v>199</v>
      </c>
      <c r="C68" s="20" t="s">
        <v>531</v>
      </c>
      <c r="D68" s="20" t="s">
        <v>1067</v>
      </c>
      <c r="E68" s="20" t="s">
        <v>203</v>
      </c>
      <c r="F68" s="21" t="s">
        <v>1426</v>
      </c>
      <c r="G68" s="21">
        <v>6</v>
      </c>
      <c r="H68" s="21">
        <v>24</v>
      </c>
      <c r="I68" s="21">
        <v>16</v>
      </c>
      <c r="J68" s="42">
        <v>46</v>
      </c>
      <c r="K68" s="21">
        <v>6</v>
      </c>
      <c r="L68" s="21">
        <v>24</v>
      </c>
      <c r="M68" s="21">
        <v>2</v>
      </c>
      <c r="N68" s="21">
        <v>14</v>
      </c>
      <c r="O68" s="21">
        <v>16</v>
      </c>
      <c r="P68" s="21">
        <v>0</v>
      </c>
      <c r="Q68" s="21"/>
      <c r="R68" s="20">
        <f t="shared" si="1"/>
        <v>46</v>
      </c>
      <c r="S68" s="22">
        <f t="shared" si="2"/>
        <v>200063</v>
      </c>
      <c r="T68" s="22">
        <f>COUNTIF($V$4:V68,V68)</f>
        <v>44</v>
      </c>
      <c r="U68" s="22" t="str">
        <f>IF(T68=1,COUNTIF($T$4:T68,1),"")</f>
        <v/>
      </c>
      <c r="V68" s="23" t="str">
        <f t="shared" si="3"/>
        <v>北区03認定こども園</v>
      </c>
      <c r="W68" s="23" t="str">
        <f t="shared" si="4"/>
        <v>きずな麻生保育園</v>
      </c>
      <c r="X68" s="24">
        <v>64</v>
      </c>
      <c r="Y68" s="30" t="str">
        <f t="shared" si="7"/>
        <v/>
      </c>
      <c r="Z68" s="1304" t="str">
        <f t="shared" si="7"/>
        <v/>
      </c>
      <c r="AA68" s="1304" t="str">
        <f t="shared" si="7"/>
        <v/>
      </c>
      <c r="AB68" s="1309" t="str">
        <f t="shared" si="7"/>
        <v/>
      </c>
      <c r="AC68" s="1309" t="str">
        <f t="shared" si="7"/>
        <v/>
      </c>
      <c r="AD68" s="1309" t="str">
        <f t="shared" si="7"/>
        <v/>
      </c>
      <c r="AE68" s="1309" t="str">
        <f t="shared" si="7"/>
        <v/>
      </c>
      <c r="AF68" s="1309" t="str">
        <f t="shared" si="7"/>
        <v/>
      </c>
      <c r="AG68" s="1309" t="str">
        <f t="shared" si="7"/>
        <v/>
      </c>
      <c r="AH68" s="1305" t="str">
        <f t="shared" si="7"/>
        <v/>
      </c>
      <c r="AI68" s="1305">
        <f t="shared" si="7"/>
        <v>0</v>
      </c>
      <c r="AJ68" s="1305"/>
      <c r="AK68" s="1305"/>
      <c r="AL68" s="1305"/>
      <c r="AM68" s="1305"/>
      <c r="AN68" s="1305"/>
      <c r="AO68" s="1305"/>
      <c r="AP68" s="1305"/>
      <c r="AQ68" s="1305"/>
      <c r="AR68" s="1305"/>
      <c r="AS68" s="1305"/>
      <c r="AT68" s="1305"/>
      <c r="AU68" s="1305"/>
      <c r="AV68" s="1305"/>
      <c r="AW68" s="1305"/>
      <c r="AX68" s="1305"/>
      <c r="AY68" s="1305"/>
      <c r="AZ68" s="1305"/>
      <c r="BA68" s="1305"/>
      <c r="BB68" s="1305"/>
      <c r="BC68" s="1305"/>
      <c r="BD68" s="1305"/>
      <c r="BE68" s="1305"/>
      <c r="BF68" s="1305"/>
      <c r="BG68" s="1305"/>
      <c r="BH68" s="1305"/>
      <c r="BI68" s="1305"/>
      <c r="BJ68" s="1305"/>
      <c r="BK68" s="1305"/>
      <c r="BL68" s="1305"/>
      <c r="BM68" s="1305"/>
      <c r="BN68" s="1305"/>
      <c r="BO68" s="1305"/>
      <c r="BP68" s="1305"/>
      <c r="BQ68" s="1305"/>
      <c r="BR68" s="1305"/>
      <c r="BS68" s="1305"/>
      <c r="BT68" s="1305"/>
      <c r="BU68" s="1305"/>
      <c r="BV68" s="1305"/>
      <c r="BW68" s="1305"/>
      <c r="BX68" s="1305"/>
      <c r="BY68" s="1305"/>
      <c r="BZ68" s="1305"/>
      <c r="CA68" s="1305"/>
      <c r="CB68" s="1305"/>
      <c r="CC68" s="1305"/>
      <c r="CD68" s="1305"/>
      <c r="CE68" s="1305"/>
      <c r="CF68" s="1305"/>
      <c r="CG68" s="1305"/>
      <c r="CH68" s="1305"/>
      <c r="CI68" s="1305"/>
      <c r="CJ68" s="1305"/>
      <c r="CK68" s="1305"/>
      <c r="CL68" s="1305"/>
      <c r="CM68" s="1305"/>
      <c r="CN68" s="1305"/>
      <c r="CO68" s="1305"/>
      <c r="CP68" s="1305"/>
      <c r="CQ68" s="1305"/>
      <c r="CR68" s="1305"/>
      <c r="CS68" s="1305"/>
      <c r="CT68" s="1305"/>
      <c r="CU68" s="1305"/>
      <c r="CV68" s="1305"/>
      <c r="CW68" s="1305"/>
      <c r="CX68" s="1305"/>
      <c r="CY68" s="1305"/>
      <c r="CZ68" s="1305"/>
      <c r="DA68" s="1308"/>
    </row>
    <row r="69" spans="1:105" ht="11.25" customHeight="1" outlineLevel="1">
      <c r="A69" s="16">
        <v>200065</v>
      </c>
      <c r="B69" s="20" t="s">
        <v>199</v>
      </c>
      <c r="C69" s="20" t="s">
        <v>531</v>
      </c>
      <c r="D69" s="20" t="s">
        <v>1067</v>
      </c>
      <c r="E69" s="20" t="s">
        <v>203</v>
      </c>
      <c r="F69" s="21" t="s">
        <v>1085</v>
      </c>
      <c r="G69" s="21">
        <v>10</v>
      </c>
      <c r="H69" s="21">
        <v>32</v>
      </c>
      <c r="I69" s="21">
        <v>28</v>
      </c>
      <c r="J69" s="42">
        <v>70</v>
      </c>
      <c r="K69" s="21">
        <v>10</v>
      </c>
      <c r="L69" s="21">
        <v>32</v>
      </c>
      <c r="M69" s="21">
        <v>6</v>
      </c>
      <c r="N69" s="21">
        <v>22</v>
      </c>
      <c r="O69" s="21">
        <v>28</v>
      </c>
      <c r="P69" s="21">
        <v>0</v>
      </c>
      <c r="Q69" s="21"/>
      <c r="R69" s="20">
        <f t="shared" ref="R69:R132" si="9">SUM(K69,L69,O69)</f>
        <v>70</v>
      </c>
      <c r="S69" s="22">
        <f t="shared" ref="S69:S133" si="10">A69</f>
        <v>200065</v>
      </c>
      <c r="T69" s="22">
        <f>COUNTIF($V$4:V69,V69)</f>
        <v>45</v>
      </c>
      <c r="U69" s="22" t="str">
        <f>IF(T69=1,COUNTIF($T$4:T69,1),"")</f>
        <v/>
      </c>
      <c r="V69" s="23" t="str">
        <f t="shared" ref="V69:V133" si="11">$E69&amp;$C69</f>
        <v>北区03認定こども園</v>
      </c>
      <c r="W69" s="23" t="str">
        <f t="shared" ref="W69:W133" si="12">$F69</f>
        <v>認定こども園しずく保育園</v>
      </c>
      <c r="X69" s="24">
        <v>65</v>
      </c>
      <c r="Y69" s="30" t="str">
        <f t="shared" si="7"/>
        <v/>
      </c>
      <c r="Z69" s="1304" t="str">
        <f t="shared" si="7"/>
        <v/>
      </c>
      <c r="AA69" s="1304" t="str">
        <f t="shared" si="7"/>
        <v/>
      </c>
      <c r="AB69" s="1309" t="str">
        <f t="shared" si="7"/>
        <v/>
      </c>
      <c r="AC69" s="1309" t="str">
        <f t="shared" si="7"/>
        <v/>
      </c>
      <c r="AD69" s="1309" t="str">
        <f t="shared" si="7"/>
        <v/>
      </c>
      <c r="AE69" s="1309" t="str">
        <f t="shared" si="7"/>
        <v/>
      </c>
      <c r="AF69" s="1309" t="str">
        <f t="shared" si="7"/>
        <v/>
      </c>
      <c r="AG69" s="1309" t="str">
        <f t="shared" si="7"/>
        <v/>
      </c>
      <c r="AH69" s="1305" t="str">
        <f t="shared" si="7"/>
        <v/>
      </c>
      <c r="AI69" s="1305">
        <f t="shared" si="7"/>
        <v>0</v>
      </c>
      <c r="AJ69" s="1305"/>
      <c r="AK69" s="1305"/>
      <c r="AL69" s="1305"/>
      <c r="AM69" s="1305"/>
      <c r="AN69" s="1305"/>
      <c r="AO69" s="1305"/>
      <c r="AP69" s="1305"/>
      <c r="AQ69" s="1305"/>
      <c r="AR69" s="1305"/>
      <c r="AS69" s="1305"/>
      <c r="AT69" s="1305"/>
      <c r="AU69" s="1305"/>
      <c r="AV69" s="1305"/>
      <c r="AW69" s="1305"/>
      <c r="AX69" s="1305"/>
      <c r="AY69" s="1305"/>
      <c r="AZ69" s="1305"/>
      <c r="BA69" s="1305"/>
      <c r="BB69" s="1305"/>
      <c r="BC69" s="1305"/>
      <c r="BD69" s="1305"/>
      <c r="BE69" s="1305"/>
      <c r="BF69" s="1305"/>
      <c r="BG69" s="1305"/>
      <c r="BH69" s="1305"/>
      <c r="BI69" s="1305"/>
      <c r="BJ69" s="1305"/>
      <c r="BK69" s="1305"/>
      <c r="BL69" s="1305"/>
      <c r="BM69" s="1305"/>
      <c r="BN69" s="1305"/>
      <c r="BO69" s="1305"/>
      <c r="BP69" s="1305"/>
      <c r="BQ69" s="1305"/>
      <c r="BR69" s="1305"/>
      <c r="BS69" s="1305"/>
      <c r="BT69" s="1305"/>
      <c r="BU69" s="1305"/>
      <c r="BV69" s="1305"/>
      <c r="BW69" s="1305"/>
      <c r="BX69" s="1305"/>
      <c r="BY69" s="1305"/>
      <c r="BZ69" s="1305"/>
      <c r="CA69" s="1305"/>
      <c r="CB69" s="1305"/>
      <c r="CC69" s="1305"/>
      <c r="CD69" s="1305"/>
      <c r="CE69" s="1305"/>
      <c r="CF69" s="1305"/>
      <c r="CG69" s="1305"/>
      <c r="CH69" s="1305"/>
      <c r="CI69" s="1305"/>
      <c r="CJ69" s="1305"/>
      <c r="CK69" s="1305"/>
      <c r="CL69" s="1305"/>
      <c r="CM69" s="1305"/>
      <c r="CN69" s="1305"/>
      <c r="CO69" s="1305"/>
      <c r="CP69" s="1305"/>
      <c r="CQ69" s="1305"/>
      <c r="CR69" s="1305"/>
      <c r="CS69" s="1305"/>
      <c r="CT69" s="1305"/>
      <c r="CU69" s="1305"/>
      <c r="CV69" s="1305"/>
      <c r="CW69" s="1305"/>
      <c r="CX69" s="1305"/>
      <c r="CY69" s="1305"/>
      <c r="CZ69" s="1305"/>
      <c r="DA69" s="1308"/>
    </row>
    <row r="70" spans="1:105" ht="11.25" customHeight="1" outlineLevel="1">
      <c r="A70" s="16">
        <v>200093</v>
      </c>
      <c r="B70" s="20" t="s">
        <v>199</v>
      </c>
      <c r="C70" s="20" t="s">
        <v>531</v>
      </c>
      <c r="D70" s="20" t="s">
        <v>1067</v>
      </c>
      <c r="E70" s="20" t="s">
        <v>203</v>
      </c>
      <c r="F70" s="21" t="s">
        <v>1427</v>
      </c>
      <c r="G70" s="21">
        <v>6</v>
      </c>
      <c r="H70" s="21">
        <v>22</v>
      </c>
      <c r="I70" s="21">
        <v>18</v>
      </c>
      <c r="J70" s="42">
        <v>46</v>
      </c>
      <c r="K70" s="21">
        <v>6</v>
      </c>
      <c r="L70" s="21">
        <v>22</v>
      </c>
      <c r="M70" s="21">
        <v>4</v>
      </c>
      <c r="N70" s="21">
        <v>14</v>
      </c>
      <c r="O70" s="21">
        <v>18</v>
      </c>
      <c r="P70" s="21">
        <v>0</v>
      </c>
      <c r="Q70" s="21"/>
      <c r="R70" s="20">
        <f t="shared" si="9"/>
        <v>46</v>
      </c>
      <c r="S70" s="22">
        <f t="shared" si="10"/>
        <v>200093</v>
      </c>
      <c r="T70" s="22">
        <f>COUNTIF($V$4:V70,V70)</f>
        <v>46</v>
      </c>
      <c r="U70" s="22" t="str">
        <f>IF(T70=1,COUNTIF($T$4:T70,1),"")</f>
        <v/>
      </c>
      <c r="V70" s="23" t="str">
        <f t="shared" si="11"/>
        <v>北区03認定こども園</v>
      </c>
      <c r="W70" s="23" t="str">
        <f t="shared" si="12"/>
        <v>こすもす認定こども園</v>
      </c>
      <c r="X70" s="24">
        <v>66</v>
      </c>
      <c r="Y70" s="30" t="str">
        <f t="shared" si="7"/>
        <v/>
      </c>
      <c r="Z70" s="1304" t="str">
        <f t="shared" si="7"/>
        <v/>
      </c>
      <c r="AA70" s="1304" t="str">
        <f t="shared" si="7"/>
        <v/>
      </c>
      <c r="AB70" s="1309" t="str">
        <f t="shared" si="7"/>
        <v/>
      </c>
      <c r="AC70" s="1309" t="str">
        <f t="shared" si="7"/>
        <v/>
      </c>
      <c r="AD70" s="1309" t="str">
        <f t="shared" si="7"/>
        <v/>
      </c>
      <c r="AE70" s="1309" t="str">
        <f t="shared" si="7"/>
        <v/>
      </c>
      <c r="AF70" s="1309" t="str">
        <f t="shared" si="7"/>
        <v/>
      </c>
      <c r="AG70" s="1309" t="str">
        <f t="shared" si="7"/>
        <v/>
      </c>
      <c r="AH70" s="1305" t="str">
        <f t="shared" si="7"/>
        <v/>
      </c>
      <c r="AI70" s="1305">
        <f t="shared" si="7"/>
        <v>0</v>
      </c>
      <c r="AJ70" s="1305"/>
      <c r="AK70" s="1305"/>
      <c r="AL70" s="1305"/>
      <c r="AM70" s="1305"/>
      <c r="AN70" s="1305"/>
      <c r="AO70" s="1305"/>
      <c r="AP70" s="1305"/>
      <c r="AQ70" s="1305"/>
      <c r="AR70" s="1305"/>
      <c r="AS70" s="1305"/>
      <c r="AT70" s="1305"/>
      <c r="AU70" s="1305"/>
      <c r="AV70" s="1305"/>
      <c r="AW70" s="1305"/>
      <c r="AX70" s="1305"/>
      <c r="AY70" s="1305"/>
      <c r="AZ70" s="1305"/>
      <c r="BA70" s="1305"/>
      <c r="BB70" s="1305"/>
      <c r="BC70" s="1305"/>
      <c r="BD70" s="1305"/>
      <c r="BE70" s="1305"/>
      <c r="BF70" s="1305"/>
      <c r="BG70" s="1305"/>
      <c r="BH70" s="1305"/>
      <c r="BI70" s="1305"/>
      <c r="BJ70" s="1305"/>
      <c r="BK70" s="1305"/>
      <c r="BL70" s="1305"/>
      <c r="BM70" s="1305"/>
      <c r="BN70" s="1305"/>
      <c r="BO70" s="1305"/>
      <c r="BP70" s="1305"/>
      <c r="BQ70" s="1305"/>
      <c r="BR70" s="1305"/>
      <c r="BS70" s="1305"/>
      <c r="BT70" s="1305"/>
      <c r="BU70" s="1305"/>
      <c r="BV70" s="1305"/>
      <c r="BW70" s="1305"/>
      <c r="BX70" s="1305"/>
      <c r="BY70" s="1305"/>
      <c r="BZ70" s="1305"/>
      <c r="CA70" s="1305"/>
      <c r="CB70" s="1305"/>
      <c r="CC70" s="1305"/>
      <c r="CD70" s="1305"/>
      <c r="CE70" s="1305"/>
      <c r="CF70" s="1305"/>
      <c r="CG70" s="1305"/>
      <c r="CH70" s="1305"/>
      <c r="CI70" s="1305"/>
      <c r="CJ70" s="1305"/>
      <c r="CK70" s="1305"/>
      <c r="CL70" s="1305"/>
      <c r="CM70" s="1305"/>
      <c r="CN70" s="1305"/>
      <c r="CO70" s="1305"/>
      <c r="CP70" s="1305"/>
      <c r="CQ70" s="1305"/>
      <c r="CR70" s="1305"/>
      <c r="CS70" s="1305"/>
      <c r="CT70" s="1305"/>
      <c r="CU70" s="1305"/>
      <c r="CV70" s="1305"/>
      <c r="CW70" s="1305"/>
      <c r="CX70" s="1305"/>
      <c r="CY70" s="1305"/>
      <c r="CZ70" s="1305"/>
      <c r="DA70" s="1308"/>
    </row>
    <row r="71" spans="1:105" ht="11.25" customHeight="1" outlineLevel="1">
      <c r="A71" s="16">
        <v>200098</v>
      </c>
      <c r="B71" s="20" t="s">
        <v>199</v>
      </c>
      <c r="C71" s="20" t="s">
        <v>531</v>
      </c>
      <c r="D71" s="20" t="s">
        <v>1067</v>
      </c>
      <c r="E71" s="20" t="s">
        <v>203</v>
      </c>
      <c r="F71" s="21" t="s">
        <v>1428</v>
      </c>
      <c r="G71" s="21">
        <v>15</v>
      </c>
      <c r="H71" s="21">
        <v>33</v>
      </c>
      <c r="I71" s="21">
        <v>27</v>
      </c>
      <c r="J71" s="42">
        <v>75</v>
      </c>
      <c r="K71" s="21">
        <v>15</v>
      </c>
      <c r="L71" s="21">
        <v>33</v>
      </c>
      <c r="M71" s="21">
        <v>5</v>
      </c>
      <c r="N71" s="21">
        <v>22</v>
      </c>
      <c r="O71" s="21">
        <v>27</v>
      </c>
      <c r="P71" s="21">
        <v>0</v>
      </c>
      <c r="Q71" s="21"/>
      <c r="R71" s="20">
        <f t="shared" si="9"/>
        <v>75</v>
      </c>
      <c r="S71" s="22">
        <f t="shared" si="10"/>
        <v>200098</v>
      </c>
      <c r="T71" s="22">
        <f>COUNTIF($V$4:V71,V71)</f>
        <v>47</v>
      </c>
      <c r="U71" s="22" t="str">
        <f>IF(T71=1,COUNTIF($T$4:T71,1),"")</f>
        <v/>
      </c>
      <c r="V71" s="23" t="str">
        <f t="shared" si="11"/>
        <v>北区03認定こども園</v>
      </c>
      <c r="W71" s="23" t="str">
        <f t="shared" si="12"/>
        <v>白楊みどり保育園</v>
      </c>
      <c r="X71" s="24">
        <v>67</v>
      </c>
      <c r="Y71" s="30" t="str">
        <f t="shared" si="7"/>
        <v/>
      </c>
      <c r="Z71" s="1304" t="str">
        <f t="shared" si="7"/>
        <v/>
      </c>
      <c r="AA71" s="1304" t="str">
        <f t="shared" si="7"/>
        <v/>
      </c>
      <c r="AB71" s="1309" t="str">
        <f t="shared" si="7"/>
        <v/>
      </c>
      <c r="AC71" s="1309" t="str">
        <f t="shared" si="7"/>
        <v/>
      </c>
      <c r="AD71" s="1309" t="str">
        <f t="shared" si="7"/>
        <v/>
      </c>
      <c r="AE71" s="1309" t="str">
        <f t="shared" si="7"/>
        <v/>
      </c>
      <c r="AF71" s="1309" t="str">
        <f t="shared" si="7"/>
        <v/>
      </c>
      <c r="AG71" s="1309" t="str">
        <f t="shared" si="7"/>
        <v/>
      </c>
      <c r="AH71" s="1305" t="str">
        <f t="shared" si="7"/>
        <v/>
      </c>
      <c r="AI71" s="1305">
        <f t="shared" si="7"/>
        <v>0</v>
      </c>
      <c r="AJ71" s="1305"/>
      <c r="AK71" s="1305"/>
      <c r="AL71" s="1305"/>
      <c r="AM71" s="1305"/>
      <c r="AN71" s="1305"/>
      <c r="AO71" s="1305"/>
      <c r="AP71" s="1305"/>
      <c r="AQ71" s="1305"/>
      <c r="AR71" s="1305"/>
      <c r="AS71" s="1305"/>
      <c r="AT71" s="1305"/>
      <c r="AU71" s="1305"/>
      <c r="AV71" s="1305"/>
      <c r="AW71" s="1305"/>
      <c r="AX71" s="1305"/>
      <c r="AY71" s="1305"/>
      <c r="AZ71" s="1305"/>
      <c r="BA71" s="1305"/>
      <c r="BB71" s="1305"/>
      <c r="BC71" s="1305"/>
      <c r="BD71" s="1305"/>
      <c r="BE71" s="1305"/>
      <c r="BF71" s="1305"/>
      <c r="BG71" s="1305"/>
      <c r="BH71" s="1305"/>
      <c r="BI71" s="1305"/>
      <c r="BJ71" s="1305"/>
      <c r="BK71" s="1305"/>
      <c r="BL71" s="1305"/>
      <c r="BM71" s="1305"/>
      <c r="BN71" s="1305"/>
      <c r="BO71" s="1305"/>
      <c r="BP71" s="1305"/>
      <c r="BQ71" s="1305"/>
      <c r="BR71" s="1305"/>
      <c r="BS71" s="1305"/>
      <c r="BT71" s="1305"/>
      <c r="BU71" s="1305"/>
      <c r="BV71" s="1305"/>
      <c r="BW71" s="1305"/>
      <c r="BX71" s="1305"/>
      <c r="BY71" s="1305"/>
      <c r="BZ71" s="1305"/>
      <c r="CA71" s="1305"/>
      <c r="CB71" s="1305"/>
      <c r="CC71" s="1305"/>
      <c r="CD71" s="1305"/>
      <c r="CE71" s="1305"/>
      <c r="CF71" s="1305"/>
      <c r="CG71" s="1305"/>
      <c r="CH71" s="1305"/>
      <c r="CI71" s="1305"/>
      <c r="CJ71" s="1305"/>
      <c r="CK71" s="1305"/>
      <c r="CL71" s="1305"/>
      <c r="CM71" s="1305"/>
      <c r="CN71" s="1305"/>
      <c r="CO71" s="1305"/>
      <c r="CP71" s="1305"/>
      <c r="CQ71" s="1305"/>
      <c r="CR71" s="1305"/>
      <c r="CS71" s="1305"/>
      <c r="CT71" s="1305"/>
      <c r="CU71" s="1305"/>
      <c r="CV71" s="1305"/>
      <c r="CW71" s="1305"/>
      <c r="CX71" s="1305"/>
      <c r="CY71" s="1305"/>
      <c r="CZ71" s="1305"/>
      <c r="DA71" s="1308"/>
    </row>
    <row r="72" spans="1:105" ht="11.25" customHeight="1" outlineLevel="1">
      <c r="A72" s="16">
        <v>200104</v>
      </c>
      <c r="B72" s="20" t="s">
        <v>199</v>
      </c>
      <c r="C72" s="20" t="s">
        <v>531</v>
      </c>
      <c r="D72" s="20" t="s">
        <v>1067</v>
      </c>
      <c r="E72" s="20" t="s">
        <v>203</v>
      </c>
      <c r="F72" s="21" t="s">
        <v>1429</v>
      </c>
      <c r="G72" s="21">
        <v>9</v>
      </c>
      <c r="H72" s="21">
        <v>24</v>
      </c>
      <c r="I72" s="21">
        <v>16</v>
      </c>
      <c r="J72" s="42">
        <v>49</v>
      </c>
      <c r="K72" s="21">
        <v>9</v>
      </c>
      <c r="L72" s="21">
        <v>24</v>
      </c>
      <c r="M72" s="21">
        <v>2</v>
      </c>
      <c r="N72" s="21">
        <v>14</v>
      </c>
      <c r="O72" s="21">
        <v>16</v>
      </c>
      <c r="P72" s="21">
        <v>0</v>
      </c>
      <c r="Q72" s="21"/>
      <c r="R72" s="20">
        <f t="shared" si="9"/>
        <v>49</v>
      </c>
      <c r="S72" s="22">
        <f t="shared" si="10"/>
        <v>200104</v>
      </c>
      <c r="T72" s="22">
        <f>COUNTIF($V$4:V72,V72)</f>
        <v>48</v>
      </c>
      <c r="U72" s="22" t="str">
        <f>IF(T72=1,COUNTIF($T$4:T72,1),"")</f>
        <v/>
      </c>
      <c r="V72" s="23" t="str">
        <f t="shared" si="11"/>
        <v>北区03認定こども園</v>
      </c>
      <c r="W72" s="23" t="str">
        <f t="shared" si="12"/>
        <v>もみの木にいな認定こども園</v>
      </c>
      <c r="X72" s="24">
        <v>68</v>
      </c>
      <c r="Y72" s="30" t="str">
        <f t="shared" si="7"/>
        <v/>
      </c>
      <c r="Z72" s="1304" t="str">
        <f t="shared" si="7"/>
        <v/>
      </c>
      <c r="AA72" s="1304" t="str">
        <f t="shared" ref="Z72:AI97" si="13">IFERROR(INDEX($T$4:$W$601,MATCH($X72&amp;AA$3,INDEX($T$4:$T$601&amp;$V$4:$V$601,),0),MATCH("施設名",$T$3:$W$3,0)),"")</f>
        <v/>
      </c>
      <c r="AB72" s="1309" t="str">
        <f t="shared" si="13"/>
        <v/>
      </c>
      <c r="AC72" s="1309" t="str">
        <f t="shared" si="13"/>
        <v/>
      </c>
      <c r="AD72" s="1309" t="str">
        <f t="shared" si="13"/>
        <v/>
      </c>
      <c r="AE72" s="1309" t="str">
        <f t="shared" si="13"/>
        <v/>
      </c>
      <c r="AF72" s="1309" t="str">
        <f t="shared" si="13"/>
        <v/>
      </c>
      <c r="AG72" s="1309" t="str">
        <f t="shared" si="13"/>
        <v/>
      </c>
      <c r="AH72" s="1305" t="str">
        <f t="shared" si="13"/>
        <v/>
      </c>
      <c r="AI72" s="1305">
        <f t="shared" si="13"/>
        <v>0</v>
      </c>
      <c r="AJ72" s="1305"/>
      <c r="AK72" s="1305"/>
      <c r="AL72" s="1305"/>
      <c r="AM72" s="1305"/>
      <c r="AN72" s="1305"/>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5"/>
      <c r="BP72" s="1305"/>
      <c r="BQ72" s="1305"/>
      <c r="BR72" s="1305"/>
      <c r="BS72" s="1305"/>
      <c r="BT72" s="1305"/>
      <c r="BU72" s="1305"/>
      <c r="BV72" s="1305"/>
      <c r="BW72" s="1305"/>
      <c r="BX72" s="1305"/>
      <c r="BY72" s="1305"/>
      <c r="BZ72" s="1305"/>
      <c r="CA72" s="1305"/>
      <c r="CB72" s="1305"/>
      <c r="CC72" s="1305"/>
      <c r="CD72" s="1305"/>
      <c r="CE72" s="1305"/>
      <c r="CF72" s="1305"/>
      <c r="CG72" s="1305"/>
      <c r="CH72" s="1305"/>
      <c r="CI72" s="1305"/>
      <c r="CJ72" s="1305"/>
      <c r="CK72" s="1305"/>
      <c r="CL72" s="1305"/>
      <c r="CM72" s="1305"/>
      <c r="CN72" s="1305"/>
      <c r="CO72" s="1305"/>
      <c r="CP72" s="1305"/>
      <c r="CQ72" s="1305"/>
      <c r="CR72" s="1305"/>
      <c r="CS72" s="1305"/>
      <c r="CT72" s="1305"/>
      <c r="CU72" s="1305"/>
      <c r="CV72" s="1305"/>
      <c r="CW72" s="1305"/>
      <c r="CX72" s="1305"/>
      <c r="CY72" s="1305"/>
      <c r="CZ72" s="1305"/>
      <c r="DA72" s="1308"/>
    </row>
    <row r="73" spans="1:105" ht="11.25" customHeight="1" outlineLevel="1">
      <c r="A73" s="16">
        <v>200107</v>
      </c>
      <c r="B73" s="20" t="s">
        <v>199</v>
      </c>
      <c r="C73" s="20" t="s">
        <v>531</v>
      </c>
      <c r="D73" s="20" t="s">
        <v>1284</v>
      </c>
      <c r="E73" s="20" t="s">
        <v>203</v>
      </c>
      <c r="F73" s="21" t="s">
        <v>1553</v>
      </c>
      <c r="G73" s="21">
        <v>4</v>
      </c>
      <c r="H73" s="21">
        <v>24</v>
      </c>
      <c r="I73" s="21">
        <v>16</v>
      </c>
      <c r="J73" s="42">
        <v>44</v>
      </c>
      <c r="K73" s="21">
        <v>4</v>
      </c>
      <c r="L73" s="21">
        <v>24</v>
      </c>
      <c r="M73" s="21">
        <v>2</v>
      </c>
      <c r="N73" s="21">
        <v>14</v>
      </c>
      <c r="O73" s="21">
        <v>16</v>
      </c>
      <c r="P73" s="21">
        <v>0</v>
      </c>
      <c r="Q73" s="21"/>
      <c r="R73" s="20">
        <f t="shared" si="9"/>
        <v>44</v>
      </c>
      <c r="S73" s="22">
        <f t="shared" si="10"/>
        <v>200107</v>
      </c>
      <c r="T73" s="22">
        <f>COUNTIF($V$4:V73,V73)</f>
        <v>49</v>
      </c>
      <c r="U73" s="22" t="str">
        <f>IF(T73=1,COUNTIF($T$4:T73,1),"")</f>
        <v/>
      </c>
      <c r="V73" s="23" t="str">
        <f t="shared" si="11"/>
        <v>北区03認定こども園</v>
      </c>
      <c r="W73" s="23" t="str">
        <f t="shared" si="12"/>
        <v>認定こども園おーるまいてぃ屯田園</v>
      </c>
      <c r="X73" s="24">
        <v>69</v>
      </c>
      <c r="Y73" s="30" t="str">
        <f t="shared" si="7"/>
        <v/>
      </c>
      <c r="Z73" s="1304" t="str">
        <f t="shared" si="13"/>
        <v/>
      </c>
      <c r="AA73" s="1304" t="str">
        <f t="shared" si="13"/>
        <v/>
      </c>
      <c r="AB73" s="1309" t="str">
        <f t="shared" si="13"/>
        <v/>
      </c>
      <c r="AC73" s="1309" t="str">
        <f t="shared" si="13"/>
        <v/>
      </c>
      <c r="AD73" s="1309" t="str">
        <f t="shared" si="13"/>
        <v/>
      </c>
      <c r="AE73" s="1309" t="str">
        <f t="shared" si="13"/>
        <v/>
      </c>
      <c r="AF73" s="1309" t="str">
        <f t="shared" si="13"/>
        <v/>
      </c>
      <c r="AG73" s="1309" t="str">
        <f t="shared" si="13"/>
        <v/>
      </c>
      <c r="AH73" s="1305" t="str">
        <f t="shared" si="13"/>
        <v/>
      </c>
      <c r="AI73" s="1305">
        <f t="shared" si="13"/>
        <v>0</v>
      </c>
      <c r="AJ73" s="1305"/>
      <c r="AK73" s="1305"/>
      <c r="AL73" s="1305"/>
      <c r="AM73" s="1305"/>
      <c r="AN73" s="1305"/>
      <c r="AO73" s="1305"/>
      <c r="AP73" s="1305"/>
      <c r="AQ73" s="1305"/>
      <c r="AR73" s="1305"/>
      <c r="AS73" s="1305"/>
      <c r="AT73" s="1305"/>
      <c r="AU73" s="1305"/>
      <c r="AV73" s="1305"/>
      <c r="AW73" s="1305"/>
      <c r="AX73" s="1305"/>
      <c r="AY73" s="1305"/>
      <c r="AZ73" s="1305"/>
      <c r="BA73" s="1305"/>
      <c r="BB73" s="1305"/>
      <c r="BC73" s="1305"/>
      <c r="BD73" s="1305"/>
      <c r="BE73" s="1305"/>
      <c r="BF73" s="1305"/>
      <c r="BG73" s="1305"/>
      <c r="BH73" s="1305"/>
      <c r="BI73" s="1305"/>
      <c r="BJ73" s="1305"/>
      <c r="BK73" s="1305"/>
      <c r="BL73" s="1305"/>
      <c r="BM73" s="1305"/>
      <c r="BN73" s="1305"/>
      <c r="BO73" s="1305"/>
      <c r="BP73" s="1305"/>
      <c r="BQ73" s="1305"/>
      <c r="BR73" s="1305"/>
      <c r="BS73" s="1305"/>
      <c r="BT73" s="1305"/>
      <c r="BU73" s="1305"/>
      <c r="BV73" s="1305"/>
      <c r="BW73" s="1305"/>
      <c r="BX73" s="1305"/>
      <c r="BY73" s="1305"/>
      <c r="BZ73" s="1305"/>
      <c r="CA73" s="1305"/>
      <c r="CB73" s="1305"/>
      <c r="CC73" s="1305"/>
      <c r="CD73" s="1305"/>
      <c r="CE73" s="1305"/>
      <c r="CF73" s="1305"/>
      <c r="CG73" s="1305"/>
      <c r="CH73" s="1305"/>
      <c r="CI73" s="1305"/>
      <c r="CJ73" s="1305"/>
      <c r="CK73" s="1305"/>
      <c r="CL73" s="1305"/>
      <c r="CM73" s="1305"/>
      <c r="CN73" s="1305"/>
      <c r="CO73" s="1305"/>
      <c r="CP73" s="1305"/>
      <c r="CQ73" s="1305"/>
      <c r="CR73" s="1305"/>
      <c r="CS73" s="1305"/>
      <c r="CT73" s="1305"/>
      <c r="CU73" s="1305"/>
      <c r="CV73" s="1305"/>
      <c r="CW73" s="1305"/>
      <c r="CX73" s="1305"/>
      <c r="CY73" s="1305"/>
      <c r="CZ73" s="1305"/>
      <c r="DA73" s="1308"/>
    </row>
    <row r="74" spans="1:105" ht="11.25" customHeight="1" outlineLevel="1">
      <c r="A74" s="36">
        <v>200116</v>
      </c>
      <c r="B74" s="37" t="s">
        <v>199</v>
      </c>
      <c r="C74" s="37" t="s">
        <v>531</v>
      </c>
      <c r="D74" s="37" t="s">
        <v>1067</v>
      </c>
      <c r="E74" s="37" t="s">
        <v>203</v>
      </c>
      <c r="F74" s="38" t="s">
        <v>1298</v>
      </c>
      <c r="G74" s="21">
        <v>10</v>
      </c>
      <c r="H74" s="21">
        <v>33</v>
      </c>
      <c r="I74" s="21">
        <v>27</v>
      </c>
      <c r="J74" s="42">
        <v>70</v>
      </c>
      <c r="K74" s="21">
        <v>10</v>
      </c>
      <c r="L74" s="21">
        <v>33</v>
      </c>
      <c r="M74" s="21">
        <v>5</v>
      </c>
      <c r="N74" s="21">
        <v>22</v>
      </c>
      <c r="O74" s="21">
        <v>27</v>
      </c>
      <c r="P74" s="21">
        <v>0</v>
      </c>
      <c r="Q74" s="37"/>
      <c r="R74" s="20">
        <f t="shared" si="9"/>
        <v>70</v>
      </c>
      <c r="S74" s="22">
        <f t="shared" si="10"/>
        <v>200116</v>
      </c>
      <c r="T74" s="22">
        <f>COUNTIF($V$4:V74,V74)</f>
        <v>50</v>
      </c>
      <c r="U74" s="22" t="str">
        <f>IF(T74=1,COUNTIF($T$4:T74,1),"")</f>
        <v/>
      </c>
      <c r="V74" s="23" t="str">
        <f t="shared" si="11"/>
        <v>北区03認定こども園</v>
      </c>
      <c r="W74" s="23" t="str">
        <f t="shared" si="12"/>
        <v>認定こども園新川西コグマ保育園</v>
      </c>
      <c r="X74" s="24">
        <v>70</v>
      </c>
      <c r="Y74" s="30" t="str">
        <f t="shared" si="7"/>
        <v/>
      </c>
      <c r="Z74" s="1304" t="str">
        <f t="shared" si="13"/>
        <v/>
      </c>
      <c r="AA74" s="1304" t="str">
        <f t="shared" si="13"/>
        <v/>
      </c>
      <c r="AB74" s="1309" t="str">
        <f t="shared" si="13"/>
        <v/>
      </c>
      <c r="AC74" s="1309" t="str">
        <f t="shared" si="13"/>
        <v/>
      </c>
      <c r="AD74" s="1309" t="str">
        <f t="shared" si="13"/>
        <v/>
      </c>
      <c r="AE74" s="1309" t="str">
        <f t="shared" si="13"/>
        <v/>
      </c>
      <c r="AF74" s="1309" t="str">
        <f t="shared" si="13"/>
        <v/>
      </c>
      <c r="AG74" s="1309" t="str">
        <f t="shared" si="13"/>
        <v/>
      </c>
      <c r="AH74" s="1305" t="str">
        <f t="shared" si="13"/>
        <v/>
      </c>
      <c r="AI74" s="1305">
        <f t="shared" si="13"/>
        <v>0</v>
      </c>
      <c r="AJ74" s="1305"/>
      <c r="AK74" s="1305"/>
      <c r="AL74" s="1305"/>
      <c r="AM74" s="1305"/>
      <c r="AN74" s="1305"/>
      <c r="AO74" s="1305"/>
      <c r="AP74" s="1305"/>
      <c r="AQ74" s="1305"/>
      <c r="AR74" s="1305"/>
      <c r="AS74" s="1305"/>
      <c r="AT74" s="1305"/>
      <c r="AU74" s="1305"/>
      <c r="AV74" s="1305"/>
      <c r="AW74" s="1305"/>
      <c r="AX74" s="1305"/>
      <c r="AY74" s="1305"/>
      <c r="AZ74" s="1305"/>
      <c r="BA74" s="1305"/>
      <c r="BB74" s="1305"/>
      <c r="BC74" s="1305"/>
      <c r="BD74" s="1305"/>
      <c r="BE74" s="1305"/>
      <c r="BF74" s="1305"/>
      <c r="BG74" s="1305"/>
      <c r="BH74" s="1305"/>
      <c r="BI74" s="1305"/>
      <c r="BJ74" s="1305"/>
      <c r="BK74" s="1305"/>
      <c r="BL74" s="1305"/>
      <c r="BM74" s="1305"/>
      <c r="BN74" s="1305"/>
      <c r="BO74" s="1305"/>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8"/>
    </row>
    <row r="75" spans="1:105" ht="11.25" customHeight="1" outlineLevel="1">
      <c r="A75" s="16">
        <v>200118</v>
      </c>
      <c r="B75" s="20" t="s">
        <v>199</v>
      </c>
      <c r="C75" s="20" t="s">
        <v>531</v>
      </c>
      <c r="D75" s="20" t="s">
        <v>1284</v>
      </c>
      <c r="E75" s="20" t="s">
        <v>203</v>
      </c>
      <c r="F75" s="21" t="s">
        <v>1649</v>
      </c>
      <c r="G75" s="21">
        <v>9</v>
      </c>
      <c r="H75" s="21">
        <v>51</v>
      </c>
      <c r="I75" s="21">
        <v>39</v>
      </c>
      <c r="J75" s="42">
        <v>99</v>
      </c>
      <c r="K75" s="21">
        <v>9</v>
      </c>
      <c r="L75" s="21">
        <v>51</v>
      </c>
      <c r="M75" s="21">
        <v>5</v>
      </c>
      <c r="N75" s="21">
        <v>34</v>
      </c>
      <c r="O75" s="21">
        <v>39</v>
      </c>
      <c r="P75" s="21">
        <v>0</v>
      </c>
      <c r="Q75" s="21"/>
      <c r="R75" s="20">
        <f t="shared" si="9"/>
        <v>99</v>
      </c>
      <c r="S75" s="22">
        <f t="shared" si="10"/>
        <v>200118</v>
      </c>
      <c r="T75" s="22">
        <f>COUNTIF($V$4:V75,V75)</f>
        <v>51</v>
      </c>
      <c r="U75" s="22" t="str">
        <f>IF(T75=1,COUNTIF($T$4:T75,1),"")</f>
        <v/>
      </c>
      <c r="V75" s="23" t="str">
        <f t="shared" si="11"/>
        <v>北区03認定こども園</v>
      </c>
      <c r="W75" s="23" t="str">
        <f t="shared" si="12"/>
        <v>認定こども園ピッコロ子ども倶楽部北大前保育所</v>
      </c>
      <c r="X75" s="24">
        <v>71</v>
      </c>
      <c r="Y75" s="30" t="str">
        <f t="shared" si="7"/>
        <v/>
      </c>
      <c r="Z75" s="1304" t="str">
        <f t="shared" si="13"/>
        <v/>
      </c>
      <c r="AA75" s="1304" t="str">
        <f t="shared" si="13"/>
        <v/>
      </c>
      <c r="AB75" s="1309" t="str">
        <f t="shared" si="13"/>
        <v/>
      </c>
      <c r="AC75" s="1309" t="str">
        <f t="shared" si="13"/>
        <v/>
      </c>
      <c r="AD75" s="1309" t="str">
        <f t="shared" si="13"/>
        <v/>
      </c>
      <c r="AE75" s="1309" t="str">
        <f t="shared" si="13"/>
        <v/>
      </c>
      <c r="AF75" s="1309" t="str">
        <f t="shared" si="13"/>
        <v/>
      </c>
      <c r="AG75" s="1309" t="str">
        <f t="shared" si="13"/>
        <v/>
      </c>
      <c r="AH75" s="1305" t="str">
        <f t="shared" si="13"/>
        <v/>
      </c>
      <c r="AI75" s="1305">
        <f t="shared" si="13"/>
        <v>0</v>
      </c>
      <c r="AJ75" s="1305"/>
      <c r="AK75" s="1305"/>
      <c r="AL75" s="1305"/>
      <c r="AM75" s="1305"/>
      <c r="AN75" s="1305"/>
      <c r="AO75" s="1305"/>
      <c r="AP75" s="1305"/>
      <c r="AQ75" s="1305"/>
      <c r="AR75" s="1305"/>
      <c r="AS75" s="1305"/>
      <c r="AT75" s="1305"/>
      <c r="AU75" s="1305"/>
      <c r="AV75" s="1305"/>
      <c r="AW75" s="1305"/>
      <c r="AX75" s="1305"/>
      <c r="AY75" s="1305"/>
      <c r="AZ75" s="1305"/>
      <c r="BA75" s="1305"/>
      <c r="BB75" s="1305"/>
      <c r="BC75" s="1305"/>
      <c r="BD75" s="1305"/>
      <c r="BE75" s="1305"/>
      <c r="BF75" s="1305"/>
      <c r="BG75" s="1305"/>
      <c r="BH75" s="1305"/>
      <c r="BI75" s="1305"/>
      <c r="BJ75" s="1305"/>
      <c r="BK75" s="1305"/>
      <c r="BL75" s="1305"/>
      <c r="BM75" s="1305"/>
      <c r="BN75" s="1305"/>
      <c r="BO75" s="1305"/>
      <c r="BP75" s="1305"/>
      <c r="BQ75" s="1305"/>
      <c r="BR75" s="1305"/>
      <c r="BS75" s="1305"/>
      <c r="BT75" s="1305"/>
      <c r="BU75" s="1305"/>
      <c r="BV75" s="1305"/>
      <c r="BW75" s="1305"/>
      <c r="BX75" s="1305"/>
      <c r="BY75" s="1305"/>
      <c r="BZ75" s="1305"/>
      <c r="CA75" s="1305"/>
      <c r="CB75" s="1305"/>
      <c r="CC75" s="1305"/>
      <c r="CD75" s="1305"/>
      <c r="CE75" s="1305"/>
      <c r="CF75" s="1305"/>
      <c r="CG75" s="1305"/>
      <c r="CH75" s="1305"/>
      <c r="CI75" s="1305"/>
      <c r="CJ75" s="1305"/>
      <c r="CK75" s="1305"/>
      <c r="CL75" s="1305"/>
      <c r="CM75" s="1305"/>
      <c r="CN75" s="1305"/>
      <c r="CO75" s="1305"/>
      <c r="CP75" s="1305"/>
      <c r="CQ75" s="1305"/>
      <c r="CR75" s="1305"/>
      <c r="CS75" s="1305"/>
      <c r="CT75" s="1305"/>
      <c r="CU75" s="1305"/>
      <c r="CV75" s="1305"/>
      <c r="CW75" s="1305"/>
      <c r="CX75" s="1305"/>
      <c r="CY75" s="1305"/>
      <c r="CZ75" s="1305"/>
      <c r="DA75" s="1308"/>
    </row>
    <row r="76" spans="1:105" ht="11.25" customHeight="1" outlineLevel="1">
      <c r="A76" s="16">
        <v>200121</v>
      </c>
      <c r="B76" s="20" t="s">
        <v>199</v>
      </c>
      <c r="C76" s="20" t="s">
        <v>531</v>
      </c>
      <c r="D76" s="20" t="s">
        <v>1067</v>
      </c>
      <c r="E76" s="20" t="s">
        <v>203</v>
      </c>
      <c r="F76" s="21" t="s">
        <v>1299</v>
      </c>
      <c r="G76" s="21">
        <v>6</v>
      </c>
      <c r="H76" s="21">
        <v>24</v>
      </c>
      <c r="I76" s="21">
        <v>16</v>
      </c>
      <c r="J76" s="42">
        <v>46</v>
      </c>
      <c r="K76" s="21">
        <v>6</v>
      </c>
      <c r="L76" s="21">
        <v>24</v>
      </c>
      <c r="M76" s="21">
        <v>2</v>
      </c>
      <c r="N76" s="21">
        <v>14</v>
      </c>
      <c r="O76" s="21">
        <v>16</v>
      </c>
      <c r="P76" s="21">
        <v>0</v>
      </c>
      <c r="Q76" s="21"/>
      <c r="R76" s="20">
        <f t="shared" si="9"/>
        <v>46</v>
      </c>
      <c r="S76" s="22">
        <f t="shared" si="10"/>
        <v>200121</v>
      </c>
      <c r="T76" s="22">
        <f>COUNTIF($V$4:V76,V76)</f>
        <v>52</v>
      </c>
      <c r="U76" s="22" t="str">
        <f>IF(T76=1,COUNTIF($T$4:T76,1),"")</f>
        <v/>
      </c>
      <c r="V76" s="23" t="str">
        <f t="shared" si="11"/>
        <v>北区03認定こども園</v>
      </c>
      <c r="W76" s="23" t="str">
        <f t="shared" si="12"/>
        <v>きずな北保育園</v>
      </c>
      <c r="X76" s="24">
        <v>72</v>
      </c>
      <c r="Y76" s="30" t="str">
        <f t="shared" si="7"/>
        <v/>
      </c>
      <c r="Z76" s="1304" t="str">
        <f t="shared" si="13"/>
        <v/>
      </c>
      <c r="AA76" s="1304" t="str">
        <f t="shared" si="13"/>
        <v/>
      </c>
      <c r="AB76" s="1309" t="str">
        <f t="shared" si="13"/>
        <v/>
      </c>
      <c r="AC76" s="1309" t="str">
        <f t="shared" si="13"/>
        <v/>
      </c>
      <c r="AD76" s="1309" t="str">
        <f t="shared" si="13"/>
        <v/>
      </c>
      <c r="AE76" s="1309" t="str">
        <f t="shared" si="13"/>
        <v/>
      </c>
      <c r="AF76" s="1309" t="str">
        <f t="shared" si="13"/>
        <v/>
      </c>
      <c r="AG76" s="1309" t="str">
        <f t="shared" si="13"/>
        <v/>
      </c>
      <c r="AH76" s="1305" t="str">
        <f t="shared" si="13"/>
        <v/>
      </c>
      <c r="AI76" s="1305">
        <f t="shared" si="13"/>
        <v>0</v>
      </c>
      <c r="AJ76" s="1305"/>
      <c r="AK76" s="1305"/>
      <c r="AL76" s="1305"/>
      <c r="AM76" s="1305"/>
      <c r="AN76" s="1305"/>
      <c r="AO76" s="1305"/>
      <c r="AP76" s="1305"/>
      <c r="AQ76" s="1305"/>
      <c r="AR76" s="1305"/>
      <c r="AS76" s="1305"/>
      <c r="AT76" s="1305"/>
      <c r="AU76" s="1305"/>
      <c r="AV76" s="1305"/>
      <c r="AW76" s="1305"/>
      <c r="AX76" s="1305"/>
      <c r="AY76" s="1305"/>
      <c r="AZ76" s="1305"/>
      <c r="BA76" s="1305"/>
      <c r="BB76" s="1305"/>
      <c r="BC76" s="1305"/>
      <c r="BD76" s="1305"/>
      <c r="BE76" s="1305"/>
      <c r="BF76" s="1305"/>
      <c r="BG76" s="1305"/>
      <c r="BH76" s="1305"/>
      <c r="BI76" s="1305"/>
      <c r="BJ76" s="1305"/>
      <c r="BK76" s="1305"/>
      <c r="BL76" s="1305"/>
      <c r="BM76" s="1305"/>
      <c r="BN76" s="1305"/>
      <c r="BO76" s="1305"/>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8"/>
    </row>
    <row r="77" spans="1:105" ht="11.25" customHeight="1" outlineLevel="1">
      <c r="A77" s="16">
        <v>200122</v>
      </c>
      <c r="B77" s="20" t="s">
        <v>199</v>
      </c>
      <c r="C77" s="20" t="s">
        <v>531</v>
      </c>
      <c r="D77" s="20" t="s">
        <v>1284</v>
      </c>
      <c r="E77" s="20" t="s">
        <v>203</v>
      </c>
      <c r="F77" s="21" t="s">
        <v>1650</v>
      </c>
      <c r="G77" s="21">
        <v>3</v>
      </c>
      <c r="H77" s="21">
        <v>24</v>
      </c>
      <c r="I77" s="21">
        <v>16</v>
      </c>
      <c r="J77" s="42">
        <v>43</v>
      </c>
      <c r="K77" s="21">
        <v>3</v>
      </c>
      <c r="L77" s="21">
        <v>24</v>
      </c>
      <c r="M77" s="21">
        <v>2</v>
      </c>
      <c r="N77" s="21">
        <v>14</v>
      </c>
      <c r="O77" s="21">
        <v>16</v>
      </c>
      <c r="P77" s="21">
        <v>0</v>
      </c>
      <c r="Q77" s="21"/>
      <c r="R77" s="20">
        <f t="shared" si="9"/>
        <v>43</v>
      </c>
      <c r="S77" s="22">
        <f t="shared" si="10"/>
        <v>200122</v>
      </c>
      <c r="T77" s="22">
        <f>COUNTIF($V$4:V77,V77)</f>
        <v>53</v>
      </c>
      <c r="U77" s="22" t="str">
        <f>IF(T77=1,COUNTIF($T$4:T77,1),"")</f>
        <v/>
      </c>
      <c r="V77" s="23" t="str">
        <f t="shared" si="11"/>
        <v>北区03認定こども園</v>
      </c>
      <c r="W77" s="23" t="str">
        <f t="shared" si="12"/>
        <v>新陽こども園</v>
      </c>
      <c r="X77" s="24">
        <v>73</v>
      </c>
      <c r="Y77" s="30" t="str">
        <f t="shared" si="7"/>
        <v/>
      </c>
      <c r="Z77" s="1304" t="str">
        <f t="shared" si="13"/>
        <v/>
      </c>
      <c r="AA77" s="1304" t="str">
        <f t="shared" si="13"/>
        <v/>
      </c>
      <c r="AB77" s="1309" t="str">
        <f t="shared" si="13"/>
        <v/>
      </c>
      <c r="AC77" s="1309" t="str">
        <f t="shared" si="13"/>
        <v/>
      </c>
      <c r="AD77" s="1309" t="str">
        <f t="shared" si="13"/>
        <v/>
      </c>
      <c r="AE77" s="1309" t="str">
        <f t="shared" si="13"/>
        <v/>
      </c>
      <c r="AF77" s="1309" t="str">
        <f t="shared" si="13"/>
        <v/>
      </c>
      <c r="AG77" s="1309" t="str">
        <f t="shared" si="13"/>
        <v/>
      </c>
      <c r="AH77" s="1305" t="str">
        <f t="shared" si="13"/>
        <v/>
      </c>
      <c r="AI77" s="1305">
        <f t="shared" si="13"/>
        <v>0</v>
      </c>
      <c r="AJ77" s="1305"/>
      <c r="AK77" s="1305"/>
      <c r="AL77" s="1305"/>
      <c r="AM77" s="1305"/>
      <c r="AN77" s="1305"/>
      <c r="AO77" s="1305"/>
      <c r="AP77" s="1305"/>
      <c r="AQ77" s="1305"/>
      <c r="AR77" s="1305"/>
      <c r="AS77" s="1305"/>
      <c r="AT77" s="1305"/>
      <c r="AU77" s="1305"/>
      <c r="AV77" s="1305"/>
      <c r="AW77" s="1305"/>
      <c r="AX77" s="1305"/>
      <c r="AY77" s="1305"/>
      <c r="AZ77" s="1305"/>
      <c r="BA77" s="1305"/>
      <c r="BB77" s="1305"/>
      <c r="BC77" s="1305"/>
      <c r="BD77" s="1305"/>
      <c r="BE77" s="1305"/>
      <c r="BF77" s="1305"/>
      <c r="BG77" s="1305"/>
      <c r="BH77" s="1305"/>
      <c r="BI77" s="1305"/>
      <c r="BJ77" s="1305"/>
      <c r="BK77" s="1305"/>
      <c r="BL77" s="1305"/>
      <c r="BM77" s="1305"/>
      <c r="BN77" s="1305"/>
      <c r="BO77" s="1305"/>
      <c r="BP77" s="1305"/>
      <c r="BQ77" s="1305"/>
      <c r="BR77" s="1305"/>
      <c r="BS77" s="1305"/>
      <c r="BT77" s="1305"/>
      <c r="BU77" s="1305"/>
      <c r="BV77" s="1305"/>
      <c r="BW77" s="1305"/>
      <c r="BX77" s="1305"/>
      <c r="BY77" s="1305"/>
      <c r="BZ77" s="1305"/>
      <c r="CA77" s="1305"/>
      <c r="CB77" s="1305"/>
      <c r="CC77" s="1305"/>
      <c r="CD77" s="1305"/>
      <c r="CE77" s="1305"/>
      <c r="CF77" s="1305"/>
      <c r="CG77" s="1305"/>
      <c r="CH77" s="1305"/>
      <c r="CI77" s="1305"/>
      <c r="CJ77" s="1305"/>
      <c r="CK77" s="1305"/>
      <c r="CL77" s="1305"/>
      <c r="CM77" s="1305"/>
      <c r="CN77" s="1305"/>
      <c r="CO77" s="1305"/>
      <c r="CP77" s="1305"/>
      <c r="CQ77" s="1305"/>
      <c r="CR77" s="1305"/>
      <c r="CS77" s="1305"/>
      <c r="CT77" s="1305"/>
      <c r="CU77" s="1305"/>
      <c r="CV77" s="1305"/>
      <c r="CW77" s="1305"/>
      <c r="CX77" s="1305"/>
      <c r="CY77" s="1305"/>
      <c r="CZ77" s="1305"/>
      <c r="DA77" s="1308"/>
    </row>
    <row r="78" spans="1:105" ht="11.25" customHeight="1" outlineLevel="1">
      <c r="A78" s="16">
        <v>200123</v>
      </c>
      <c r="B78" s="20" t="s">
        <v>199</v>
      </c>
      <c r="C78" s="20" t="s">
        <v>531</v>
      </c>
      <c r="D78" s="20" t="s">
        <v>1067</v>
      </c>
      <c r="E78" s="20" t="s">
        <v>203</v>
      </c>
      <c r="F78" s="21" t="s">
        <v>1554</v>
      </c>
      <c r="G78" s="21">
        <v>4</v>
      </c>
      <c r="H78" s="21">
        <v>24</v>
      </c>
      <c r="I78" s="21">
        <v>16</v>
      </c>
      <c r="J78" s="42">
        <v>44</v>
      </c>
      <c r="K78" s="21">
        <v>4</v>
      </c>
      <c r="L78" s="21">
        <v>24</v>
      </c>
      <c r="M78" s="21">
        <v>2</v>
      </c>
      <c r="N78" s="21">
        <v>14</v>
      </c>
      <c r="O78" s="21">
        <v>16</v>
      </c>
      <c r="P78" s="21">
        <v>0</v>
      </c>
      <c r="Q78" s="21"/>
      <c r="R78" s="20">
        <f t="shared" si="9"/>
        <v>44</v>
      </c>
      <c r="S78" s="22">
        <f t="shared" si="10"/>
        <v>200123</v>
      </c>
      <c r="T78" s="22">
        <f>COUNTIF($V$4:V78,V78)</f>
        <v>54</v>
      </c>
      <c r="U78" s="22" t="str">
        <f>IF(T78=1,COUNTIF($T$4:T78,1),"")</f>
        <v/>
      </c>
      <c r="V78" s="23" t="str">
        <f t="shared" si="11"/>
        <v>北区03認定こども園</v>
      </c>
      <c r="W78" s="23" t="str">
        <f t="shared" si="12"/>
        <v>保育所型札幌北はぐはぐ認定こども園</v>
      </c>
      <c r="X78" s="24">
        <v>74</v>
      </c>
      <c r="Y78" s="30" t="str">
        <f t="shared" si="7"/>
        <v/>
      </c>
      <c r="Z78" s="1304" t="str">
        <f t="shared" si="13"/>
        <v/>
      </c>
      <c r="AA78" s="1304" t="str">
        <f t="shared" si="13"/>
        <v/>
      </c>
      <c r="AB78" s="1309" t="str">
        <f t="shared" si="13"/>
        <v/>
      </c>
      <c r="AC78" s="1309" t="str">
        <f t="shared" si="13"/>
        <v/>
      </c>
      <c r="AD78" s="1309" t="str">
        <f t="shared" si="13"/>
        <v/>
      </c>
      <c r="AE78" s="1309" t="str">
        <f t="shared" si="13"/>
        <v/>
      </c>
      <c r="AF78" s="1309" t="str">
        <f t="shared" si="13"/>
        <v/>
      </c>
      <c r="AG78" s="1309" t="str">
        <f t="shared" si="13"/>
        <v/>
      </c>
      <c r="AH78" s="1305" t="str">
        <f t="shared" si="13"/>
        <v/>
      </c>
      <c r="AI78" s="1305">
        <f t="shared" si="13"/>
        <v>0</v>
      </c>
      <c r="AJ78" s="1305"/>
      <c r="AK78" s="1305"/>
      <c r="AL78" s="1305"/>
      <c r="AM78" s="1305"/>
      <c r="AN78" s="1305"/>
      <c r="AO78" s="1305"/>
      <c r="AP78" s="1305"/>
      <c r="AQ78" s="1305"/>
      <c r="AR78" s="1305"/>
      <c r="AS78" s="1305"/>
      <c r="AT78" s="1305"/>
      <c r="AU78" s="1305"/>
      <c r="AV78" s="1305"/>
      <c r="AW78" s="1305"/>
      <c r="AX78" s="1305"/>
      <c r="AY78" s="1305"/>
      <c r="AZ78" s="1305"/>
      <c r="BA78" s="1305"/>
      <c r="BB78" s="1305"/>
      <c r="BC78" s="1305"/>
      <c r="BD78" s="1305"/>
      <c r="BE78" s="1305"/>
      <c r="BF78" s="1305"/>
      <c r="BG78" s="1305"/>
      <c r="BH78" s="1305"/>
      <c r="BI78" s="1305"/>
      <c r="BJ78" s="1305"/>
      <c r="BK78" s="1305"/>
      <c r="BL78" s="1305"/>
      <c r="BM78" s="1305"/>
      <c r="BN78" s="1305"/>
      <c r="BO78" s="1305"/>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8"/>
    </row>
    <row r="79" spans="1:105" ht="11.25" customHeight="1" outlineLevel="1">
      <c r="A79" s="16">
        <v>200129</v>
      </c>
      <c r="B79" s="20" t="s">
        <v>199</v>
      </c>
      <c r="C79" s="20" t="s">
        <v>531</v>
      </c>
      <c r="D79" s="20" t="s">
        <v>1284</v>
      </c>
      <c r="E79" s="20" t="s">
        <v>203</v>
      </c>
      <c r="F79" s="21" t="s">
        <v>1651</v>
      </c>
      <c r="G79" s="21">
        <v>3</v>
      </c>
      <c r="H79" s="21">
        <v>24</v>
      </c>
      <c r="I79" s="21">
        <v>16</v>
      </c>
      <c r="J79" s="42">
        <v>43</v>
      </c>
      <c r="K79" s="21">
        <v>3</v>
      </c>
      <c r="L79" s="21">
        <v>24</v>
      </c>
      <c r="M79" s="21">
        <v>2</v>
      </c>
      <c r="N79" s="21">
        <v>14</v>
      </c>
      <c r="O79" s="21">
        <v>16</v>
      </c>
      <c r="P79" s="21">
        <v>0</v>
      </c>
      <c r="Q79" s="21"/>
      <c r="R79" s="20">
        <f t="shared" si="9"/>
        <v>43</v>
      </c>
      <c r="S79" s="22">
        <f t="shared" si="10"/>
        <v>200129</v>
      </c>
      <c r="T79" s="22">
        <f>COUNTIF($V$4:V79,V79)</f>
        <v>55</v>
      </c>
      <c r="U79" s="22" t="str">
        <f>IF(T79=1,COUNTIF($T$4:T79,1),"")</f>
        <v/>
      </c>
      <c r="V79" s="23" t="str">
        <f t="shared" si="11"/>
        <v>北区03認定こども園</v>
      </c>
      <c r="W79" s="23" t="str">
        <f t="shared" si="12"/>
        <v>屯田南こども園</v>
      </c>
      <c r="X79" s="24">
        <v>75</v>
      </c>
      <c r="Y79" s="30" t="str">
        <f t="shared" si="7"/>
        <v/>
      </c>
      <c r="Z79" s="1304" t="str">
        <f t="shared" si="13"/>
        <v/>
      </c>
      <c r="AA79" s="1304" t="str">
        <f t="shared" si="13"/>
        <v/>
      </c>
      <c r="AB79" s="1309" t="str">
        <f t="shared" si="13"/>
        <v/>
      </c>
      <c r="AC79" s="1309" t="str">
        <f t="shared" si="13"/>
        <v/>
      </c>
      <c r="AD79" s="1309" t="str">
        <f t="shared" si="13"/>
        <v/>
      </c>
      <c r="AE79" s="1309" t="str">
        <f t="shared" si="13"/>
        <v/>
      </c>
      <c r="AF79" s="1309" t="str">
        <f t="shared" si="13"/>
        <v/>
      </c>
      <c r="AG79" s="1309" t="str">
        <f t="shared" si="13"/>
        <v/>
      </c>
      <c r="AH79" s="1305" t="str">
        <f t="shared" si="13"/>
        <v/>
      </c>
      <c r="AI79" s="1305">
        <f t="shared" si="13"/>
        <v>0</v>
      </c>
      <c r="AJ79" s="1305"/>
      <c r="AK79" s="1305"/>
      <c r="AL79" s="1305"/>
      <c r="AM79" s="1305"/>
      <c r="AN79" s="1305"/>
      <c r="AO79" s="1305"/>
      <c r="AP79" s="1305"/>
      <c r="AQ79" s="1305"/>
      <c r="AR79" s="1305"/>
      <c r="AS79" s="1305"/>
      <c r="AT79" s="1305"/>
      <c r="AU79" s="1305"/>
      <c r="AV79" s="1305"/>
      <c r="AW79" s="1305"/>
      <c r="AX79" s="1305"/>
      <c r="AY79" s="1305"/>
      <c r="AZ79" s="1305"/>
      <c r="BA79" s="1305"/>
      <c r="BB79" s="1305"/>
      <c r="BC79" s="1305"/>
      <c r="BD79" s="1305"/>
      <c r="BE79" s="1305"/>
      <c r="BF79" s="1305"/>
      <c r="BG79" s="1305"/>
      <c r="BH79" s="1305"/>
      <c r="BI79" s="1305"/>
      <c r="BJ79" s="1305"/>
      <c r="BK79" s="1305"/>
      <c r="BL79" s="1305"/>
      <c r="BM79" s="1305"/>
      <c r="BN79" s="1305"/>
      <c r="BO79" s="1305"/>
      <c r="BP79" s="1305"/>
      <c r="BQ79" s="1305"/>
      <c r="BR79" s="1305"/>
      <c r="BS79" s="1305"/>
      <c r="BT79" s="1305"/>
      <c r="BU79" s="1305"/>
      <c r="BV79" s="1305"/>
      <c r="BW79" s="1305"/>
      <c r="BX79" s="1305"/>
      <c r="BY79" s="1305"/>
      <c r="BZ79" s="1305"/>
      <c r="CA79" s="1305"/>
      <c r="CB79" s="1305"/>
      <c r="CC79" s="1305"/>
      <c r="CD79" s="1305"/>
      <c r="CE79" s="1305"/>
      <c r="CF79" s="1305"/>
      <c r="CG79" s="1305"/>
      <c r="CH79" s="1305"/>
      <c r="CI79" s="1305"/>
      <c r="CJ79" s="1305"/>
      <c r="CK79" s="1305"/>
      <c r="CL79" s="1305"/>
      <c r="CM79" s="1305"/>
      <c r="CN79" s="1305"/>
      <c r="CO79" s="1305"/>
      <c r="CP79" s="1305"/>
      <c r="CQ79" s="1305"/>
      <c r="CR79" s="1305"/>
      <c r="CS79" s="1305"/>
      <c r="CT79" s="1305"/>
      <c r="CU79" s="1305"/>
      <c r="CV79" s="1305"/>
      <c r="CW79" s="1305"/>
      <c r="CX79" s="1305"/>
      <c r="CY79" s="1305"/>
      <c r="CZ79" s="1305"/>
      <c r="DA79" s="1308"/>
    </row>
    <row r="80" spans="1:105" ht="11.25" customHeight="1" outlineLevel="1">
      <c r="A80" s="16">
        <v>200068</v>
      </c>
      <c r="B80" s="20" t="s">
        <v>199</v>
      </c>
      <c r="C80" s="20" t="s">
        <v>531</v>
      </c>
      <c r="D80" s="20" t="s">
        <v>1071</v>
      </c>
      <c r="E80" s="20" t="s">
        <v>203</v>
      </c>
      <c r="F80" s="21" t="s">
        <v>208</v>
      </c>
      <c r="G80" s="21">
        <v>12</v>
      </c>
      <c r="H80" s="21">
        <v>45</v>
      </c>
      <c r="I80" s="21">
        <v>25</v>
      </c>
      <c r="J80" s="42">
        <v>82</v>
      </c>
      <c r="K80" s="21">
        <v>12</v>
      </c>
      <c r="L80" s="21">
        <v>45</v>
      </c>
      <c r="M80" s="21">
        <v>0</v>
      </c>
      <c r="N80" s="21">
        <v>25</v>
      </c>
      <c r="O80" s="21">
        <v>25</v>
      </c>
      <c r="P80" s="21">
        <v>0</v>
      </c>
      <c r="Q80" s="21"/>
      <c r="R80" s="20">
        <f t="shared" si="9"/>
        <v>82</v>
      </c>
      <c r="S80" s="22">
        <f t="shared" si="10"/>
        <v>200068</v>
      </c>
      <c r="T80" s="22">
        <f>COUNTIF($V$4:V80,V80)</f>
        <v>56</v>
      </c>
      <c r="U80" s="22" t="str">
        <f>IF(T80=1,COUNTIF($T$4:T80,1),"")</f>
        <v/>
      </c>
      <c r="V80" s="23" t="str">
        <f t="shared" si="11"/>
        <v>北区03認定こども園</v>
      </c>
      <c r="W80" s="23" t="str">
        <f t="shared" si="12"/>
        <v>認定こども園英伸幼稚学院</v>
      </c>
      <c r="X80" s="24">
        <v>76</v>
      </c>
      <c r="Y80" s="30" t="str">
        <f t="shared" si="7"/>
        <v/>
      </c>
      <c r="Z80" s="1304" t="str">
        <f t="shared" si="13"/>
        <v/>
      </c>
      <c r="AA80" s="1304" t="str">
        <f t="shared" si="13"/>
        <v/>
      </c>
      <c r="AB80" s="1309" t="str">
        <f t="shared" si="13"/>
        <v/>
      </c>
      <c r="AC80" s="1309" t="str">
        <f t="shared" si="13"/>
        <v/>
      </c>
      <c r="AD80" s="1309" t="str">
        <f t="shared" si="13"/>
        <v/>
      </c>
      <c r="AE80" s="1309" t="str">
        <f t="shared" si="13"/>
        <v/>
      </c>
      <c r="AF80" s="1309" t="str">
        <f t="shared" si="13"/>
        <v/>
      </c>
      <c r="AG80" s="1309" t="str">
        <f t="shared" si="13"/>
        <v/>
      </c>
      <c r="AH80" s="1305" t="str">
        <f t="shared" si="13"/>
        <v/>
      </c>
      <c r="AI80" s="1305">
        <f t="shared" si="13"/>
        <v>0</v>
      </c>
      <c r="AJ80" s="1305"/>
      <c r="AK80" s="1305"/>
      <c r="AL80" s="1305"/>
      <c r="AM80" s="1305"/>
      <c r="AN80" s="1305"/>
      <c r="AO80" s="1305"/>
      <c r="AP80" s="1305"/>
      <c r="AQ80" s="1305"/>
      <c r="AR80" s="1305"/>
      <c r="AS80" s="1305"/>
      <c r="AT80" s="1305"/>
      <c r="AU80" s="1305"/>
      <c r="AV80" s="1305"/>
      <c r="AW80" s="1305"/>
      <c r="AX80" s="1305"/>
      <c r="AY80" s="1305"/>
      <c r="AZ80" s="1305"/>
      <c r="BA80" s="1305"/>
      <c r="BB80" s="1305"/>
      <c r="BC80" s="1305"/>
      <c r="BD80" s="1305"/>
      <c r="BE80" s="1305"/>
      <c r="BF80" s="1305"/>
      <c r="BG80" s="1305"/>
      <c r="BH80" s="1305"/>
      <c r="BI80" s="1305"/>
      <c r="BJ80" s="1305"/>
      <c r="BK80" s="1305"/>
      <c r="BL80" s="1305"/>
      <c r="BM80" s="1305"/>
      <c r="BN80" s="1305"/>
      <c r="BO80" s="1305"/>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8"/>
    </row>
    <row r="81" spans="1:256" s="23" customFormat="1" ht="11.25" customHeight="1" outlineLevel="1">
      <c r="A81" s="16">
        <v>300003</v>
      </c>
      <c r="B81" s="20" t="s">
        <v>199</v>
      </c>
      <c r="C81" s="20" t="s">
        <v>531</v>
      </c>
      <c r="D81" s="20" t="s">
        <v>1069</v>
      </c>
      <c r="E81" s="20" t="s">
        <v>209</v>
      </c>
      <c r="F81" s="21" t="s">
        <v>1094</v>
      </c>
      <c r="G81" s="21">
        <v>15</v>
      </c>
      <c r="H81" s="21">
        <v>69</v>
      </c>
      <c r="I81" s="21">
        <v>51</v>
      </c>
      <c r="J81" s="42">
        <v>135</v>
      </c>
      <c r="K81" s="21">
        <v>15</v>
      </c>
      <c r="L81" s="21">
        <v>69</v>
      </c>
      <c r="M81" s="21">
        <v>12</v>
      </c>
      <c r="N81" s="21">
        <v>39</v>
      </c>
      <c r="O81" s="21">
        <v>51</v>
      </c>
      <c r="P81" s="21">
        <v>0</v>
      </c>
      <c r="Q81" s="21"/>
      <c r="R81" s="20">
        <f t="shared" si="9"/>
        <v>135</v>
      </c>
      <c r="S81" s="22">
        <f t="shared" si="10"/>
        <v>300003</v>
      </c>
      <c r="T81" s="22">
        <f>COUNTIF($V$4:V81,V81)</f>
        <v>1</v>
      </c>
      <c r="U81" s="22">
        <f>IF(T81=1,COUNTIF($T$4:T81,1),"")</f>
        <v>3</v>
      </c>
      <c r="V81" s="23" t="str">
        <f t="shared" si="11"/>
        <v>東区03認定こども園</v>
      </c>
      <c r="W81" s="23" t="str">
        <f t="shared" si="12"/>
        <v>幼保連携型認定こども園さっぽろ夢</v>
      </c>
      <c r="X81" s="24">
        <v>77</v>
      </c>
      <c r="Y81" s="30" t="str">
        <f t="shared" si="7"/>
        <v/>
      </c>
      <c r="Z81" s="1304" t="str">
        <f t="shared" si="13"/>
        <v/>
      </c>
      <c r="AA81" s="1304" t="str">
        <f t="shared" si="13"/>
        <v/>
      </c>
      <c r="AB81" s="1309" t="str">
        <f t="shared" si="13"/>
        <v/>
      </c>
      <c r="AC81" s="1309" t="str">
        <f t="shared" si="13"/>
        <v/>
      </c>
      <c r="AD81" s="1309" t="str">
        <f t="shared" si="13"/>
        <v/>
      </c>
      <c r="AE81" s="1309" t="str">
        <f t="shared" si="13"/>
        <v/>
      </c>
      <c r="AF81" s="1309" t="str">
        <f t="shared" si="13"/>
        <v/>
      </c>
      <c r="AG81" s="1309" t="str">
        <f t="shared" si="13"/>
        <v/>
      </c>
      <c r="AH81" s="1305" t="str">
        <f t="shared" si="13"/>
        <v/>
      </c>
      <c r="AI81" s="1305">
        <f t="shared" si="13"/>
        <v>0</v>
      </c>
      <c r="AJ81" s="1305"/>
      <c r="AK81" s="1305"/>
      <c r="AL81" s="1305"/>
      <c r="AM81" s="1305"/>
      <c r="AN81" s="1305"/>
      <c r="AO81" s="1305"/>
      <c r="AP81" s="1305"/>
      <c r="AQ81" s="1305"/>
      <c r="AR81" s="1305"/>
      <c r="AS81" s="1305"/>
      <c r="AT81" s="1305"/>
      <c r="AU81" s="1305"/>
      <c r="AV81" s="1305"/>
      <c r="AW81" s="1305"/>
      <c r="AX81" s="1305"/>
      <c r="AY81" s="1305"/>
      <c r="AZ81" s="1305"/>
      <c r="BA81" s="1305"/>
      <c r="BB81" s="1305"/>
      <c r="BC81" s="1305"/>
      <c r="BD81" s="1305"/>
      <c r="BE81" s="1305"/>
      <c r="BF81" s="1305"/>
      <c r="BG81" s="1305"/>
      <c r="BH81" s="1305"/>
      <c r="BI81" s="1305"/>
      <c r="BJ81" s="1305"/>
      <c r="BK81" s="1305"/>
      <c r="BL81" s="1305"/>
      <c r="BM81" s="1305"/>
      <c r="BN81" s="1305"/>
      <c r="BO81" s="1305"/>
      <c r="BP81" s="1305"/>
      <c r="BQ81" s="1305"/>
      <c r="BR81" s="1305"/>
      <c r="BS81" s="1305"/>
      <c r="BT81" s="1305"/>
      <c r="BU81" s="1305"/>
      <c r="BV81" s="1305"/>
      <c r="BW81" s="1305"/>
      <c r="BX81" s="1305"/>
      <c r="BY81" s="1305"/>
      <c r="BZ81" s="1305"/>
      <c r="CA81" s="1305"/>
      <c r="CB81" s="1305"/>
      <c r="CC81" s="1305"/>
      <c r="CD81" s="1305"/>
      <c r="CE81" s="1305"/>
      <c r="CF81" s="1305"/>
      <c r="CG81" s="1305"/>
      <c r="CH81" s="1305"/>
      <c r="CI81" s="1305"/>
      <c r="CJ81" s="1305"/>
      <c r="CK81" s="1305"/>
      <c r="CL81" s="1305"/>
      <c r="CM81" s="1305"/>
      <c r="CN81" s="1305"/>
      <c r="CO81" s="1305"/>
      <c r="CP81" s="1305"/>
      <c r="CQ81" s="1305"/>
      <c r="CR81" s="1305"/>
      <c r="CS81" s="1305"/>
      <c r="CT81" s="1305"/>
      <c r="CU81" s="1305"/>
      <c r="CV81" s="1305"/>
      <c r="CW81" s="1305"/>
      <c r="CX81" s="1305"/>
      <c r="CY81" s="1305"/>
      <c r="CZ81" s="1305"/>
      <c r="DA81" s="1308"/>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row>
    <row r="82" spans="1:256" ht="11.25" customHeight="1" outlineLevel="1">
      <c r="A82" s="16">
        <v>300007</v>
      </c>
      <c r="B82" s="20" t="s">
        <v>199</v>
      </c>
      <c r="C82" s="20" t="s">
        <v>531</v>
      </c>
      <c r="D82" s="20" t="s">
        <v>1069</v>
      </c>
      <c r="E82" s="20" t="s">
        <v>209</v>
      </c>
      <c r="F82" s="21" t="s">
        <v>1096</v>
      </c>
      <c r="G82" s="21">
        <v>15</v>
      </c>
      <c r="H82" s="21">
        <v>51</v>
      </c>
      <c r="I82" s="21">
        <v>39</v>
      </c>
      <c r="J82" s="42">
        <v>105</v>
      </c>
      <c r="K82" s="21">
        <v>15</v>
      </c>
      <c r="L82" s="21">
        <v>51</v>
      </c>
      <c r="M82" s="21">
        <v>9</v>
      </c>
      <c r="N82" s="21">
        <v>30</v>
      </c>
      <c r="O82" s="21">
        <v>39</v>
      </c>
      <c r="P82" s="21">
        <v>0</v>
      </c>
      <c r="Q82" s="21"/>
      <c r="R82" s="20">
        <f t="shared" si="9"/>
        <v>105</v>
      </c>
      <c r="S82" s="22">
        <f t="shared" si="10"/>
        <v>300007</v>
      </c>
      <c r="T82" s="22">
        <f>COUNTIF($V$4:V82,V82)</f>
        <v>2</v>
      </c>
      <c r="U82" s="22" t="str">
        <f>IF(T82=1,COUNTIF($T$4:T82,1),"")</f>
        <v/>
      </c>
      <c r="V82" s="23" t="str">
        <f t="shared" si="11"/>
        <v>東区03認定こども園</v>
      </c>
      <c r="W82" s="23" t="str">
        <f t="shared" si="12"/>
        <v>幼保連携型認定こども園しらゆき夢</v>
      </c>
      <c r="X82" s="24">
        <v>78</v>
      </c>
      <c r="Y82" s="30" t="str">
        <f t="shared" si="7"/>
        <v/>
      </c>
      <c r="Z82" s="1304" t="str">
        <f t="shared" si="13"/>
        <v/>
      </c>
      <c r="AA82" s="1304" t="str">
        <f t="shared" si="13"/>
        <v/>
      </c>
      <c r="AB82" s="1304" t="str">
        <f t="shared" si="13"/>
        <v/>
      </c>
      <c r="AC82" s="1304" t="str">
        <f t="shared" si="13"/>
        <v/>
      </c>
      <c r="AD82" s="1304" t="str">
        <f t="shared" si="13"/>
        <v/>
      </c>
      <c r="AE82" s="1304" t="str">
        <f t="shared" si="13"/>
        <v/>
      </c>
      <c r="AF82" s="1304" t="str">
        <f t="shared" si="13"/>
        <v/>
      </c>
      <c r="AG82" s="1304" t="str">
        <f t="shared" si="13"/>
        <v/>
      </c>
      <c r="AH82" s="1305" t="str">
        <f t="shared" si="13"/>
        <v/>
      </c>
      <c r="AI82" s="1305">
        <f t="shared" si="13"/>
        <v>0</v>
      </c>
      <c r="AJ82" s="1305"/>
      <c r="AK82" s="1305"/>
      <c r="AL82" s="1305"/>
      <c r="AM82" s="1305"/>
      <c r="AN82" s="1305"/>
      <c r="AO82" s="1305"/>
      <c r="AP82" s="1305"/>
      <c r="AQ82" s="1305"/>
      <c r="AR82" s="1305"/>
      <c r="AS82" s="1305"/>
      <c r="AT82" s="1305"/>
      <c r="AU82" s="1305"/>
      <c r="AV82" s="1305"/>
      <c r="AW82" s="1305"/>
      <c r="AX82" s="1305"/>
      <c r="AY82" s="1305"/>
      <c r="AZ82" s="1305"/>
      <c r="BA82" s="1305"/>
      <c r="BB82" s="1305"/>
      <c r="BC82" s="1305"/>
      <c r="BD82" s="1305"/>
      <c r="BE82" s="1305"/>
      <c r="BF82" s="1305"/>
      <c r="BG82" s="1305"/>
      <c r="BH82" s="1305"/>
      <c r="BI82" s="1305"/>
      <c r="BJ82" s="1305"/>
      <c r="BK82" s="1305"/>
      <c r="BL82" s="1305"/>
      <c r="BM82" s="1305"/>
      <c r="BN82" s="1305"/>
      <c r="BO82" s="1305"/>
      <c r="BP82" s="1305"/>
      <c r="BQ82" s="1305"/>
      <c r="BR82" s="1305"/>
      <c r="BS82" s="1305"/>
      <c r="BT82" s="1305"/>
      <c r="BU82" s="1305"/>
      <c r="BV82" s="1305"/>
      <c r="BW82" s="1305"/>
      <c r="BX82" s="1305"/>
      <c r="BY82" s="1305"/>
      <c r="BZ82" s="1305"/>
      <c r="CA82" s="1305"/>
      <c r="CB82" s="1305"/>
      <c r="CC82" s="1305"/>
      <c r="CD82" s="1305"/>
      <c r="CE82" s="1305"/>
      <c r="CF82" s="1305"/>
      <c r="CG82" s="1305"/>
      <c r="CH82" s="1305"/>
      <c r="CI82" s="1305"/>
      <c r="CJ82" s="1305"/>
      <c r="CK82" s="1305"/>
      <c r="CL82" s="1305"/>
      <c r="CM82" s="1305"/>
      <c r="CN82" s="1305"/>
      <c r="CO82" s="1305"/>
      <c r="CP82" s="1305"/>
      <c r="CQ82" s="1305"/>
      <c r="CR82" s="1305"/>
      <c r="CS82" s="1305"/>
      <c r="CT82" s="1305"/>
      <c r="CU82" s="1305"/>
      <c r="CV82" s="1305"/>
      <c r="CW82" s="1305"/>
      <c r="CX82" s="1305"/>
      <c r="CY82" s="1305"/>
      <c r="CZ82" s="1305"/>
      <c r="DA82" s="1308"/>
    </row>
    <row r="83" spans="1:256" ht="11.25" customHeight="1" outlineLevel="1">
      <c r="A83" s="16">
        <v>300054</v>
      </c>
      <c r="B83" s="20" t="s">
        <v>199</v>
      </c>
      <c r="C83" s="20" t="s">
        <v>531</v>
      </c>
      <c r="D83" s="20" t="s">
        <v>1069</v>
      </c>
      <c r="E83" s="20" t="s">
        <v>209</v>
      </c>
      <c r="F83" s="21" t="s">
        <v>210</v>
      </c>
      <c r="G83" s="21">
        <v>130</v>
      </c>
      <c r="H83" s="21">
        <v>55</v>
      </c>
      <c r="I83" s="21">
        <v>25</v>
      </c>
      <c r="J83" s="42">
        <v>210</v>
      </c>
      <c r="K83" s="21">
        <v>60</v>
      </c>
      <c r="L83" s="21">
        <v>55</v>
      </c>
      <c r="M83" s="21">
        <v>6</v>
      </c>
      <c r="N83" s="21">
        <v>19</v>
      </c>
      <c r="O83" s="21">
        <v>25</v>
      </c>
      <c r="P83" s="21">
        <v>0</v>
      </c>
      <c r="Q83" s="21"/>
      <c r="R83" s="20">
        <f t="shared" si="9"/>
        <v>140</v>
      </c>
      <c r="S83" s="22">
        <f t="shared" si="10"/>
        <v>300054</v>
      </c>
      <c r="T83" s="22">
        <f>COUNTIF($V$4:V83,V83)</f>
        <v>3</v>
      </c>
      <c r="U83" s="22" t="str">
        <f>IF(T83=1,COUNTIF($T$4:T83,1),"")</f>
        <v/>
      </c>
      <c r="V83" s="23" t="str">
        <f t="shared" si="11"/>
        <v>東区03認定こども園</v>
      </c>
      <c r="W83" s="23" t="str">
        <f t="shared" si="12"/>
        <v>認定こども園札幌愛珠</v>
      </c>
      <c r="X83" s="24">
        <v>79</v>
      </c>
      <c r="Y83" s="30" t="str">
        <f t="shared" si="7"/>
        <v/>
      </c>
      <c r="Z83" s="1304" t="str">
        <f t="shared" si="13"/>
        <v/>
      </c>
      <c r="AA83" s="1304" t="str">
        <f t="shared" si="13"/>
        <v/>
      </c>
      <c r="AB83" s="1309" t="str">
        <f t="shared" si="13"/>
        <v/>
      </c>
      <c r="AC83" s="1309" t="str">
        <f t="shared" si="13"/>
        <v/>
      </c>
      <c r="AD83" s="1309" t="str">
        <f t="shared" si="13"/>
        <v/>
      </c>
      <c r="AE83" s="1309" t="str">
        <f t="shared" si="13"/>
        <v/>
      </c>
      <c r="AF83" s="1309" t="str">
        <f t="shared" si="13"/>
        <v/>
      </c>
      <c r="AG83" s="1309" t="str">
        <f t="shared" si="13"/>
        <v/>
      </c>
      <c r="AH83" s="1305" t="str">
        <f t="shared" si="13"/>
        <v/>
      </c>
      <c r="AI83" s="1305">
        <f t="shared" si="13"/>
        <v>0</v>
      </c>
      <c r="AJ83" s="1305"/>
      <c r="AK83" s="1305"/>
      <c r="AL83" s="1305"/>
      <c r="AM83" s="1305"/>
      <c r="AN83" s="1305"/>
      <c r="AO83" s="1305"/>
      <c r="AP83" s="1305"/>
      <c r="AQ83" s="1305"/>
      <c r="AR83" s="1305"/>
      <c r="AS83" s="1305"/>
      <c r="AT83" s="1305"/>
      <c r="AU83" s="1305"/>
      <c r="AV83" s="1305"/>
      <c r="AW83" s="1305"/>
      <c r="AX83" s="1305"/>
      <c r="AY83" s="1305"/>
      <c r="AZ83" s="1305"/>
      <c r="BA83" s="1305"/>
      <c r="BB83" s="1305"/>
      <c r="BC83" s="1305"/>
      <c r="BD83" s="1305"/>
      <c r="BE83" s="1305"/>
      <c r="BF83" s="1305"/>
      <c r="BG83" s="1305"/>
      <c r="BH83" s="1305"/>
      <c r="BI83" s="1305"/>
      <c r="BJ83" s="1305"/>
      <c r="BK83" s="1305"/>
      <c r="BL83" s="1305"/>
      <c r="BM83" s="1305"/>
      <c r="BN83" s="1305"/>
      <c r="BO83" s="1305"/>
      <c r="BP83" s="1305"/>
      <c r="BQ83" s="1305"/>
      <c r="BR83" s="1305"/>
      <c r="BS83" s="1305"/>
      <c r="BT83" s="1305"/>
      <c r="BU83" s="1305"/>
      <c r="BV83" s="1305"/>
      <c r="BW83" s="1305"/>
      <c r="BX83" s="1305"/>
      <c r="BY83" s="1305"/>
      <c r="BZ83" s="1305"/>
      <c r="CA83" s="1305"/>
      <c r="CB83" s="1305"/>
      <c r="CC83" s="1305"/>
      <c r="CD83" s="1305"/>
      <c r="CE83" s="1305"/>
      <c r="CF83" s="1305"/>
      <c r="CG83" s="1305"/>
      <c r="CH83" s="1305"/>
      <c r="CI83" s="1305"/>
      <c r="CJ83" s="1305"/>
      <c r="CK83" s="1305"/>
      <c r="CL83" s="1305"/>
      <c r="CM83" s="1305"/>
      <c r="CN83" s="1305"/>
      <c r="CO83" s="1305"/>
      <c r="CP83" s="1305"/>
      <c r="CQ83" s="1305"/>
      <c r="CR83" s="1305"/>
      <c r="CS83" s="1305"/>
      <c r="CT83" s="1305"/>
      <c r="CU83" s="1305"/>
      <c r="CV83" s="1305"/>
      <c r="CW83" s="1305"/>
      <c r="CX83" s="1305"/>
      <c r="CY83" s="1305"/>
      <c r="CZ83" s="1305"/>
      <c r="DA83" s="1308"/>
    </row>
    <row r="84" spans="1:256" ht="11.25" customHeight="1" outlineLevel="1">
      <c r="A84" s="16">
        <v>300055</v>
      </c>
      <c r="B84" s="20" t="s">
        <v>199</v>
      </c>
      <c r="C84" s="20" t="s">
        <v>531</v>
      </c>
      <c r="D84" s="20" t="s">
        <v>1069</v>
      </c>
      <c r="E84" s="20" t="s">
        <v>209</v>
      </c>
      <c r="F84" s="21" t="s">
        <v>1104</v>
      </c>
      <c r="G84" s="21">
        <v>210</v>
      </c>
      <c r="H84" s="21">
        <v>65</v>
      </c>
      <c r="I84" s="21">
        <v>35</v>
      </c>
      <c r="J84" s="42">
        <v>310</v>
      </c>
      <c r="K84" s="21">
        <v>210</v>
      </c>
      <c r="L84" s="21">
        <v>65</v>
      </c>
      <c r="M84" s="21">
        <v>5</v>
      </c>
      <c r="N84" s="21">
        <v>30</v>
      </c>
      <c r="O84" s="21">
        <v>35</v>
      </c>
      <c r="P84" s="21">
        <v>0</v>
      </c>
      <c r="Q84" s="21"/>
      <c r="R84" s="20">
        <f t="shared" si="9"/>
        <v>310</v>
      </c>
      <c r="S84" s="22">
        <f t="shared" si="10"/>
        <v>300055</v>
      </c>
      <c r="T84" s="22">
        <f>COUNTIF($V$4:V84,V84)</f>
        <v>4</v>
      </c>
      <c r="U84" s="22" t="str">
        <f>IF(T84=1,COUNTIF($T$4:T84,1),"")</f>
        <v/>
      </c>
      <c r="V84" s="23" t="str">
        <f t="shared" si="11"/>
        <v>東区03認定こども園</v>
      </c>
      <c r="W84" s="23" t="str">
        <f t="shared" si="12"/>
        <v>幼保連携型認定こども園さつなえのもり</v>
      </c>
      <c r="X84" s="24">
        <v>80</v>
      </c>
      <c r="Y84" s="30" t="str">
        <f t="shared" si="7"/>
        <v/>
      </c>
      <c r="Z84" s="1304" t="str">
        <f t="shared" si="13"/>
        <v/>
      </c>
      <c r="AA84" s="1304" t="str">
        <f t="shared" si="13"/>
        <v/>
      </c>
      <c r="AB84" s="1309" t="str">
        <f t="shared" si="13"/>
        <v/>
      </c>
      <c r="AC84" s="1309" t="str">
        <f t="shared" si="13"/>
        <v/>
      </c>
      <c r="AD84" s="1309" t="str">
        <f t="shared" si="13"/>
        <v/>
      </c>
      <c r="AE84" s="1309" t="str">
        <f t="shared" si="13"/>
        <v/>
      </c>
      <c r="AF84" s="1309" t="str">
        <f t="shared" si="13"/>
        <v/>
      </c>
      <c r="AG84" s="1309" t="str">
        <f t="shared" si="13"/>
        <v/>
      </c>
      <c r="AH84" s="1305" t="str">
        <f t="shared" si="13"/>
        <v/>
      </c>
      <c r="AI84" s="1305">
        <f t="shared" si="13"/>
        <v>0</v>
      </c>
      <c r="AJ84" s="1305"/>
      <c r="AK84" s="1305"/>
      <c r="AL84" s="1305"/>
      <c r="AM84" s="1305"/>
      <c r="AN84" s="1305"/>
      <c r="AO84" s="1305"/>
      <c r="AP84" s="1305"/>
      <c r="AQ84" s="1305"/>
      <c r="AR84" s="1305"/>
      <c r="AS84" s="1305"/>
      <c r="AT84" s="1305"/>
      <c r="AU84" s="1305"/>
      <c r="AV84" s="1305"/>
      <c r="AW84" s="1305"/>
      <c r="AX84" s="1305"/>
      <c r="AY84" s="1305"/>
      <c r="AZ84" s="1305"/>
      <c r="BA84" s="1305"/>
      <c r="BB84" s="1305"/>
      <c r="BC84" s="1305"/>
      <c r="BD84" s="1305"/>
      <c r="BE84" s="1305"/>
      <c r="BF84" s="1305"/>
      <c r="BG84" s="1305"/>
      <c r="BH84" s="1305"/>
      <c r="BI84" s="1305"/>
      <c r="BJ84" s="1305"/>
      <c r="BK84" s="1305"/>
      <c r="BL84" s="1305"/>
      <c r="BM84" s="1305"/>
      <c r="BN84" s="1305"/>
      <c r="BO84" s="1305"/>
      <c r="BP84" s="1305"/>
      <c r="BQ84" s="1305"/>
      <c r="BR84" s="1305"/>
      <c r="BS84" s="1305"/>
      <c r="BT84" s="1305"/>
      <c r="BU84" s="1305"/>
      <c r="BV84" s="1305"/>
      <c r="BW84" s="1305"/>
      <c r="BX84" s="1305"/>
      <c r="BY84" s="1305"/>
      <c r="BZ84" s="1305"/>
      <c r="CA84" s="1305"/>
      <c r="CB84" s="1305"/>
      <c r="CC84" s="1305"/>
      <c r="CD84" s="1305"/>
      <c r="CE84" s="1305"/>
      <c r="CF84" s="1305"/>
      <c r="CG84" s="1305"/>
      <c r="CH84" s="1305"/>
      <c r="CI84" s="1305"/>
      <c r="CJ84" s="1305"/>
      <c r="CK84" s="1305"/>
      <c r="CL84" s="1305"/>
      <c r="CM84" s="1305"/>
      <c r="CN84" s="1305"/>
      <c r="CO84" s="1305"/>
      <c r="CP84" s="1305"/>
      <c r="CQ84" s="1305"/>
      <c r="CR84" s="1305"/>
      <c r="CS84" s="1305"/>
      <c r="CT84" s="1305"/>
      <c r="CU84" s="1305"/>
      <c r="CV84" s="1305"/>
      <c r="CW84" s="1305"/>
      <c r="CX84" s="1305"/>
      <c r="CY84" s="1305"/>
      <c r="CZ84" s="1305"/>
      <c r="DA84" s="1308"/>
    </row>
    <row r="85" spans="1:256" ht="11.25" customHeight="1" outlineLevel="1">
      <c r="A85" s="16">
        <v>300066</v>
      </c>
      <c r="B85" s="20" t="s">
        <v>199</v>
      </c>
      <c r="C85" s="20" t="s">
        <v>531</v>
      </c>
      <c r="D85" s="20" t="s">
        <v>1078</v>
      </c>
      <c r="E85" s="20" t="s">
        <v>209</v>
      </c>
      <c r="F85" s="21" t="s">
        <v>1106</v>
      </c>
      <c r="G85" s="21">
        <v>210</v>
      </c>
      <c r="H85" s="21">
        <v>65</v>
      </c>
      <c r="I85" s="21">
        <v>35</v>
      </c>
      <c r="J85" s="42">
        <v>310</v>
      </c>
      <c r="K85" s="21">
        <v>210</v>
      </c>
      <c r="L85" s="21">
        <v>65</v>
      </c>
      <c r="M85" s="21">
        <v>5</v>
      </c>
      <c r="N85" s="21">
        <v>30</v>
      </c>
      <c r="O85" s="21">
        <v>35</v>
      </c>
      <c r="P85" s="21">
        <v>0</v>
      </c>
      <c r="Q85" s="21"/>
      <c r="R85" s="20">
        <f t="shared" si="9"/>
        <v>310</v>
      </c>
      <c r="S85" s="22">
        <f t="shared" si="10"/>
        <v>300066</v>
      </c>
      <c r="T85" s="22">
        <f>COUNTIF($V$4:V85,V85)</f>
        <v>5</v>
      </c>
      <c r="U85" s="22" t="str">
        <f>IF(T85=1,COUNTIF($T$4:T85,1),"")</f>
        <v/>
      </c>
      <c r="V85" s="23" t="str">
        <f t="shared" si="11"/>
        <v>東区03認定こども園</v>
      </c>
      <c r="W85" s="23" t="str">
        <f t="shared" si="12"/>
        <v>幼保連携型認定こども園おかだまのもり</v>
      </c>
      <c r="X85" s="24">
        <v>81</v>
      </c>
      <c r="Y85" s="30" t="str">
        <f t="shared" si="7"/>
        <v/>
      </c>
      <c r="Z85" s="1304" t="str">
        <f t="shared" si="13"/>
        <v/>
      </c>
      <c r="AA85" s="1304" t="str">
        <f t="shared" si="13"/>
        <v/>
      </c>
      <c r="AB85" s="1309" t="str">
        <f t="shared" si="13"/>
        <v/>
      </c>
      <c r="AC85" s="1309" t="str">
        <f t="shared" si="13"/>
        <v/>
      </c>
      <c r="AD85" s="1309" t="str">
        <f t="shared" si="13"/>
        <v/>
      </c>
      <c r="AE85" s="1309" t="str">
        <f t="shared" si="13"/>
        <v/>
      </c>
      <c r="AF85" s="1309" t="str">
        <f t="shared" si="13"/>
        <v/>
      </c>
      <c r="AG85" s="1309" t="str">
        <f t="shared" si="13"/>
        <v/>
      </c>
      <c r="AH85" s="1305" t="str">
        <f t="shared" si="13"/>
        <v/>
      </c>
      <c r="AI85" s="1305">
        <f t="shared" si="13"/>
        <v>0</v>
      </c>
      <c r="AJ85" s="1305"/>
      <c r="AK85" s="1305"/>
      <c r="AL85" s="1305"/>
      <c r="AM85" s="1305"/>
      <c r="AN85" s="1305"/>
      <c r="AO85" s="1305"/>
      <c r="AP85" s="1305"/>
      <c r="AQ85" s="1305"/>
      <c r="AR85" s="1305"/>
      <c r="AS85" s="1305"/>
      <c r="AT85" s="1305"/>
      <c r="AU85" s="1305"/>
      <c r="AV85" s="1305"/>
      <c r="AW85" s="1305"/>
      <c r="AX85" s="1305"/>
      <c r="AY85" s="1305"/>
      <c r="AZ85" s="1305"/>
      <c r="BA85" s="1305"/>
      <c r="BB85" s="1305"/>
      <c r="BC85" s="1305"/>
      <c r="BD85" s="1305"/>
      <c r="BE85" s="1305"/>
      <c r="BF85" s="1305"/>
      <c r="BG85" s="1305"/>
      <c r="BH85" s="1305"/>
      <c r="BI85" s="1305"/>
      <c r="BJ85" s="1305"/>
      <c r="BK85" s="1305"/>
      <c r="BL85" s="1305"/>
      <c r="BM85" s="1305"/>
      <c r="BN85" s="1305"/>
      <c r="BO85" s="1305"/>
      <c r="BP85" s="1305"/>
      <c r="BQ85" s="1305"/>
      <c r="BR85" s="1305"/>
      <c r="BS85" s="1305"/>
      <c r="BT85" s="1305"/>
      <c r="BU85" s="1305"/>
      <c r="BV85" s="1305"/>
      <c r="BW85" s="1305"/>
      <c r="BX85" s="1305"/>
      <c r="BY85" s="1305"/>
      <c r="BZ85" s="1305"/>
      <c r="CA85" s="1305"/>
      <c r="CB85" s="1305"/>
      <c r="CC85" s="1305"/>
      <c r="CD85" s="1305"/>
      <c r="CE85" s="1305"/>
      <c r="CF85" s="1305"/>
      <c r="CG85" s="1305"/>
      <c r="CH85" s="1305"/>
      <c r="CI85" s="1305"/>
      <c r="CJ85" s="1305"/>
      <c r="CK85" s="1305"/>
      <c r="CL85" s="1305"/>
      <c r="CM85" s="1305"/>
      <c r="CN85" s="1305"/>
      <c r="CO85" s="1305"/>
      <c r="CP85" s="1305"/>
      <c r="CQ85" s="1305"/>
      <c r="CR85" s="1305"/>
      <c r="CS85" s="1305"/>
      <c r="CT85" s="1305"/>
      <c r="CU85" s="1305"/>
      <c r="CV85" s="1305"/>
      <c r="CW85" s="1305"/>
      <c r="CX85" s="1305"/>
      <c r="CY85" s="1305"/>
      <c r="CZ85" s="1305"/>
      <c r="DA85" s="1308"/>
    </row>
    <row r="86" spans="1:256" ht="11.25" customHeight="1" outlineLevel="1">
      <c r="A86" s="16">
        <v>300067</v>
      </c>
      <c r="B86" s="20" t="s">
        <v>199</v>
      </c>
      <c r="C86" s="20" t="s">
        <v>531</v>
      </c>
      <c r="D86" s="20" t="s">
        <v>1078</v>
      </c>
      <c r="E86" s="20" t="s">
        <v>209</v>
      </c>
      <c r="F86" s="21" t="s">
        <v>1107</v>
      </c>
      <c r="G86" s="21">
        <v>60</v>
      </c>
      <c r="H86" s="21">
        <v>30</v>
      </c>
      <c r="I86" s="21">
        <v>15</v>
      </c>
      <c r="J86" s="42">
        <v>105</v>
      </c>
      <c r="K86" s="21">
        <v>60</v>
      </c>
      <c r="L86" s="21">
        <v>30</v>
      </c>
      <c r="M86" s="21">
        <v>3</v>
      </c>
      <c r="N86" s="21">
        <v>12</v>
      </c>
      <c r="O86" s="21">
        <v>15</v>
      </c>
      <c r="P86" s="21">
        <v>0</v>
      </c>
      <c r="Q86" s="21"/>
      <c r="R86" s="20">
        <f t="shared" si="9"/>
        <v>105</v>
      </c>
      <c r="S86" s="22">
        <f t="shared" si="10"/>
        <v>300067</v>
      </c>
      <c r="T86" s="22">
        <f>COUNTIF($V$4:V86,V86)</f>
        <v>6</v>
      </c>
      <c r="U86" s="22" t="str">
        <f>IF(T86=1,COUNTIF($T$4:T86,1),"")</f>
        <v/>
      </c>
      <c r="V86" s="23" t="str">
        <f t="shared" si="11"/>
        <v>東区03認定こども園</v>
      </c>
      <c r="W86" s="23" t="str">
        <f t="shared" si="12"/>
        <v>認定こども園聖ミカエル幼稚園</v>
      </c>
      <c r="X86" s="24">
        <v>82</v>
      </c>
      <c r="Y86" s="30" t="str">
        <f t="shared" si="7"/>
        <v/>
      </c>
      <c r="Z86" s="1304" t="str">
        <f t="shared" si="13"/>
        <v/>
      </c>
      <c r="AA86" s="1304" t="str">
        <f t="shared" si="13"/>
        <v/>
      </c>
      <c r="AB86" s="1309" t="str">
        <f t="shared" si="13"/>
        <v/>
      </c>
      <c r="AC86" s="1309" t="str">
        <f t="shared" si="13"/>
        <v/>
      </c>
      <c r="AD86" s="1309" t="str">
        <f t="shared" si="13"/>
        <v/>
      </c>
      <c r="AE86" s="1309" t="str">
        <f t="shared" si="13"/>
        <v/>
      </c>
      <c r="AF86" s="1309" t="str">
        <f t="shared" si="13"/>
        <v/>
      </c>
      <c r="AG86" s="1309" t="str">
        <f t="shared" si="13"/>
        <v/>
      </c>
      <c r="AH86" s="1305" t="str">
        <f t="shared" si="13"/>
        <v/>
      </c>
      <c r="AI86" s="1305">
        <f t="shared" si="13"/>
        <v>0</v>
      </c>
      <c r="AJ86" s="1305"/>
      <c r="AK86" s="1305"/>
      <c r="AL86" s="1305"/>
      <c r="AM86" s="1305"/>
      <c r="AN86" s="1305"/>
      <c r="AO86" s="1305"/>
      <c r="AP86" s="1305"/>
      <c r="AQ86" s="1305"/>
      <c r="AR86" s="1305"/>
      <c r="AS86" s="1305"/>
      <c r="AT86" s="1305"/>
      <c r="AU86" s="1305"/>
      <c r="AV86" s="1305"/>
      <c r="AW86" s="1305"/>
      <c r="AX86" s="1305"/>
      <c r="AY86" s="1305"/>
      <c r="AZ86" s="1305"/>
      <c r="BA86" s="1305"/>
      <c r="BB86" s="1305"/>
      <c r="BC86" s="1305"/>
      <c r="BD86" s="1305"/>
      <c r="BE86" s="1305"/>
      <c r="BF86" s="1305"/>
      <c r="BG86" s="1305"/>
      <c r="BH86" s="1305"/>
      <c r="BI86" s="1305"/>
      <c r="BJ86" s="1305"/>
      <c r="BK86" s="1305"/>
      <c r="BL86" s="1305"/>
      <c r="BM86" s="1305"/>
      <c r="BN86" s="1305"/>
      <c r="BO86" s="1305"/>
      <c r="BP86" s="1305"/>
      <c r="BQ86" s="1305"/>
      <c r="BR86" s="1305"/>
      <c r="BS86" s="1305"/>
      <c r="BT86" s="1305"/>
      <c r="BU86" s="1305"/>
      <c r="BV86" s="1305"/>
      <c r="BW86" s="1305"/>
      <c r="BX86" s="1305"/>
      <c r="BY86" s="1305"/>
      <c r="BZ86" s="1305"/>
      <c r="CA86" s="1305"/>
      <c r="CB86" s="1305"/>
      <c r="CC86" s="1305"/>
      <c r="CD86" s="1305"/>
      <c r="CE86" s="1305"/>
      <c r="CF86" s="1305"/>
      <c r="CG86" s="1305"/>
      <c r="CH86" s="1305"/>
      <c r="CI86" s="1305"/>
      <c r="CJ86" s="1305"/>
      <c r="CK86" s="1305"/>
      <c r="CL86" s="1305"/>
      <c r="CM86" s="1305"/>
      <c r="CN86" s="1305"/>
      <c r="CO86" s="1305"/>
      <c r="CP86" s="1305"/>
      <c r="CQ86" s="1305"/>
      <c r="CR86" s="1305"/>
      <c r="CS86" s="1305"/>
      <c r="CT86" s="1305"/>
      <c r="CU86" s="1305"/>
      <c r="CV86" s="1305"/>
      <c r="CW86" s="1305"/>
      <c r="CX86" s="1305"/>
      <c r="CY86" s="1305"/>
      <c r="CZ86" s="1305"/>
      <c r="DA86" s="1308"/>
    </row>
    <row r="87" spans="1:256" ht="11.25" customHeight="1" outlineLevel="1">
      <c r="A87" s="16">
        <v>300068</v>
      </c>
      <c r="B87" s="20" t="s">
        <v>199</v>
      </c>
      <c r="C87" s="20" t="s">
        <v>531</v>
      </c>
      <c r="D87" s="20" t="s">
        <v>1069</v>
      </c>
      <c r="E87" s="20" t="s">
        <v>209</v>
      </c>
      <c r="F87" s="21" t="s">
        <v>1108</v>
      </c>
      <c r="G87" s="21">
        <v>260</v>
      </c>
      <c r="H87" s="21">
        <v>61</v>
      </c>
      <c r="I87" s="21">
        <v>29</v>
      </c>
      <c r="J87" s="42">
        <v>350</v>
      </c>
      <c r="K87" s="21">
        <v>210</v>
      </c>
      <c r="L87" s="21">
        <v>61</v>
      </c>
      <c r="M87" s="21">
        <v>5</v>
      </c>
      <c r="N87" s="21">
        <v>24</v>
      </c>
      <c r="O87" s="21">
        <v>29</v>
      </c>
      <c r="P87" s="21">
        <v>0</v>
      </c>
      <c r="Q87" s="21"/>
      <c r="R87" s="20">
        <f t="shared" si="9"/>
        <v>300</v>
      </c>
      <c r="S87" s="22">
        <f t="shared" si="10"/>
        <v>300068</v>
      </c>
      <c r="T87" s="22">
        <f>COUNTIF($V$4:V87,V87)</f>
        <v>7</v>
      </c>
      <c r="U87" s="22" t="str">
        <f>IF(T87=1,COUNTIF($T$4:T87,1),"")</f>
        <v/>
      </c>
      <c r="V87" s="23" t="str">
        <f t="shared" si="11"/>
        <v>東区03認定こども園</v>
      </c>
      <c r="W87" s="23" t="str">
        <f t="shared" si="12"/>
        <v>幼保連携型認定こども園せいめいのもり</v>
      </c>
      <c r="X87" s="24">
        <v>83</v>
      </c>
      <c r="Y87" s="30" t="str">
        <f t="shared" si="7"/>
        <v/>
      </c>
      <c r="Z87" s="1304" t="str">
        <f t="shared" si="13"/>
        <v/>
      </c>
      <c r="AA87" s="1304" t="str">
        <f t="shared" si="13"/>
        <v/>
      </c>
      <c r="AB87" s="1309" t="str">
        <f t="shared" si="13"/>
        <v/>
      </c>
      <c r="AC87" s="1309" t="str">
        <f t="shared" si="13"/>
        <v/>
      </c>
      <c r="AD87" s="1309" t="str">
        <f t="shared" si="13"/>
        <v/>
      </c>
      <c r="AE87" s="1309" t="str">
        <f t="shared" si="13"/>
        <v/>
      </c>
      <c r="AF87" s="1309" t="str">
        <f t="shared" si="13"/>
        <v/>
      </c>
      <c r="AG87" s="1309" t="str">
        <f t="shared" si="13"/>
        <v/>
      </c>
      <c r="AH87" s="1305" t="str">
        <f t="shared" si="13"/>
        <v/>
      </c>
      <c r="AI87" s="1305">
        <f t="shared" si="13"/>
        <v>0</v>
      </c>
      <c r="AJ87" s="1305"/>
      <c r="AK87" s="1305"/>
      <c r="AL87" s="1305"/>
      <c r="AM87" s="1305"/>
      <c r="AN87" s="1305"/>
      <c r="AO87" s="1305"/>
      <c r="AP87" s="1305"/>
      <c r="AQ87" s="1305"/>
      <c r="AR87" s="1305"/>
      <c r="AS87" s="1305"/>
      <c r="AT87" s="1305"/>
      <c r="AU87" s="1305"/>
      <c r="AV87" s="1305"/>
      <c r="AW87" s="1305"/>
      <c r="AX87" s="1305"/>
      <c r="AY87" s="1305"/>
      <c r="AZ87" s="1305"/>
      <c r="BA87" s="1305"/>
      <c r="BB87" s="1305"/>
      <c r="BC87" s="1305"/>
      <c r="BD87" s="1305"/>
      <c r="BE87" s="1305"/>
      <c r="BF87" s="1305"/>
      <c r="BG87" s="1305"/>
      <c r="BH87" s="1305"/>
      <c r="BI87" s="1305"/>
      <c r="BJ87" s="1305"/>
      <c r="BK87" s="1305"/>
      <c r="BL87" s="1305"/>
      <c r="BM87" s="1305"/>
      <c r="BN87" s="1305"/>
      <c r="BO87" s="1305"/>
      <c r="BP87" s="1305"/>
      <c r="BQ87" s="1305"/>
      <c r="BR87" s="1305"/>
      <c r="BS87" s="1305"/>
      <c r="BT87" s="1305"/>
      <c r="BU87" s="1305"/>
      <c r="BV87" s="1305"/>
      <c r="BW87" s="1305"/>
      <c r="BX87" s="1305"/>
      <c r="BY87" s="1305"/>
      <c r="BZ87" s="1305"/>
      <c r="CA87" s="1305"/>
      <c r="CB87" s="1305"/>
      <c r="CC87" s="1305"/>
      <c r="CD87" s="1305"/>
      <c r="CE87" s="1305"/>
      <c r="CF87" s="1305"/>
      <c r="CG87" s="1305"/>
      <c r="CH87" s="1305"/>
      <c r="CI87" s="1305"/>
      <c r="CJ87" s="1305"/>
      <c r="CK87" s="1305"/>
      <c r="CL87" s="1305"/>
      <c r="CM87" s="1305"/>
      <c r="CN87" s="1305"/>
      <c r="CO87" s="1305"/>
      <c r="CP87" s="1305"/>
      <c r="CQ87" s="1305"/>
      <c r="CR87" s="1305"/>
      <c r="CS87" s="1305"/>
      <c r="CT87" s="1305"/>
      <c r="CU87" s="1305"/>
      <c r="CV87" s="1305"/>
      <c r="CW87" s="1305"/>
      <c r="CX87" s="1305"/>
      <c r="CY87" s="1305"/>
      <c r="CZ87" s="1305"/>
      <c r="DA87" s="1308"/>
    </row>
    <row r="88" spans="1:256" ht="11.25" customHeight="1" outlineLevel="1">
      <c r="A88" s="16">
        <v>300085</v>
      </c>
      <c r="B88" s="20" t="s">
        <v>199</v>
      </c>
      <c r="C88" s="20" t="s">
        <v>531</v>
      </c>
      <c r="D88" s="20" t="s">
        <v>1069</v>
      </c>
      <c r="E88" s="20" t="s">
        <v>209</v>
      </c>
      <c r="F88" s="21" t="s">
        <v>1109</v>
      </c>
      <c r="G88" s="21">
        <v>220</v>
      </c>
      <c r="H88" s="21">
        <v>39</v>
      </c>
      <c r="I88" s="21">
        <v>31</v>
      </c>
      <c r="J88" s="42">
        <v>290</v>
      </c>
      <c r="K88" s="21">
        <v>220</v>
      </c>
      <c r="L88" s="21">
        <v>39</v>
      </c>
      <c r="M88" s="21">
        <v>5</v>
      </c>
      <c r="N88" s="21">
        <v>26</v>
      </c>
      <c r="O88" s="21">
        <v>31</v>
      </c>
      <c r="P88" s="21">
        <v>0</v>
      </c>
      <c r="Q88" s="21"/>
      <c r="R88" s="20">
        <f t="shared" si="9"/>
        <v>290</v>
      </c>
      <c r="S88" s="22">
        <f t="shared" si="10"/>
        <v>300085</v>
      </c>
      <c r="T88" s="22">
        <f>COUNTIF($V$4:V88,V88)</f>
        <v>8</v>
      </c>
      <c r="U88" s="22" t="str">
        <f>IF(T88=1,COUNTIF($T$4:T88,1),"")</f>
        <v/>
      </c>
      <c r="V88" s="23" t="str">
        <f t="shared" si="11"/>
        <v>東区03認定こども園</v>
      </c>
      <c r="W88" s="23" t="str">
        <f t="shared" si="12"/>
        <v>幼保連携型認定こども園ふしこ幼稚園</v>
      </c>
      <c r="X88" s="24">
        <v>84</v>
      </c>
      <c r="Y88" s="30" t="str">
        <f t="shared" si="7"/>
        <v/>
      </c>
      <c r="Z88" s="1304" t="str">
        <f t="shared" si="13"/>
        <v/>
      </c>
      <c r="AA88" s="1304" t="str">
        <f t="shared" si="13"/>
        <v/>
      </c>
      <c r="AB88" s="1309" t="str">
        <f t="shared" si="13"/>
        <v/>
      </c>
      <c r="AC88" s="1309" t="str">
        <f t="shared" si="13"/>
        <v/>
      </c>
      <c r="AD88" s="1309" t="str">
        <f t="shared" si="13"/>
        <v/>
      </c>
      <c r="AE88" s="1309" t="str">
        <f t="shared" si="13"/>
        <v/>
      </c>
      <c r="AF88" s="1309" t="str">
        <f t="shared" si="13"/>
        <v/>
      </c>
      <c r="AG88" s="1309" t="str">
        <f t="shared" si="13"/>
        <v/>
      </c>
      <c r="AH88" s="1305" t="str">
        <f t="shared" si="13"/>
        <v/>
      </c>
      <c r="AI88" s="1305">
        <f t="shared" si="13"/>
        <v>0</v>
      </c>
      <c r="AJ88" s="1305"/>
      <c r="AK88" s="1305"/>
      <c r="AL88" s="1305"/>
      <c r="AM88" s="1305"/>
      <c r="AN88" s="1305"/>
      <c r="AO88" s="1305"/>
      <c r="AP88" s="1305"/>
      <c r="AQ88" s="1305"/>
      <c r="AR88" s="1305"/>
      <c r="AS88" s="1305"/>
      <c r="AT88" s="1305"/>
      <c r="AU88" s="1305"/>
      <c r="AV88" s="1305"/>
      <c r="AW88" s="1305"/>
      <c r="AX88" s="1305"/>
      <c r="AY88" s="1305"/>
      <c r="AZ88" s="1305"/>
      <c r="BA88" s="1305"/>
      <c r="BB88" s="1305"/>
      <c r="BC88" s="1305"/>
      <c r="BD88" s="1305"/>
      <c r="BE88" s="1305"/>
      <c r="BF88" s="1305"/>
      <c r="BG88" s="1305"/>
      <c r="BH88" s="1305"/>
      <c r="BI88" s="1305"/>
      <c r="BJ88" s="1305"/>
      <c r="BK88" s="1305"/>
      <c r="BL88" s="1305"/>
      <c r="BM88" s="1305"/>
      <c r="BN88" s="1305"/>
      <c r="BO88" s="1305"/>
      <c r="BP88" s="1305"/>
      <c r="BQ88" s="1305"/>
      <c r="BR88" s="1305"/>
      <c r="BS88" s="1305"/>
      <c r="BT88" s="1305"/>
      <c r="BU88" s="1305"/>
      <c r="BV88" s="1305"/>
      <c r="BW88" s="1305"/>
      <c r="BX88" s="1305"/>
      <c r="BY88" s="1305"/>
      <c r="BZ88" s="1305"/>
      <c r="CA88" s="1305"/>
      <c r="CB88" s="1305"/>
      <c r="CC88" s="1305"/>
      <c r="CD88" s="1305"/>
      <c r="CE88" s="1305"/>
      <c r="CF88" s="1305"/>
      <c r="CG88" s="1305"/>
      <c r="CH88" s="1305"/>
      <c r="CI88" s="1305"/>
      <c r="CJ88" s="1305"/>
      <c r="CK88" s="1305"/>
      <c r="CL88" s="1305"/>
      <c r="CM88" s="1305"/>
      <c r="CN88" s="1305"/>
      <c r="CO88" s="1305"/>
      <c r="CP88" s="1305"/>
      <c r="CQ88" s="1305"/>
      <c r="CR88" s="1305"/>
      <c r="CS88" s="1305"/>
      <c r="CT88" s="1305"/>
      <c r="CU88" s="1305"/>
      <c r="CV88" s="1305"/>
      <c r="CW88" s="1305"/>
      <c r="CX88" s="1305"/>
      <c r="CY88" s="1305"/>
      <c r="CZ88" s="1305"/>
      <c r="DA88" s="1308"/>
    </row>
    <row r="89" spans="1:256" ht="11.25" customHeight="1" outlineLevel="1">
      <c r="A89" s="16">
        <v>300086</v>
      </c>
      <c r="B89" s="20" t="s">
        <v>199</v>
      </c>
      <c r="C89" s="20" t="s">
        <v>531</v>
      </c>
      <c r="D89" s="20" t="s">
        <v>1078</v>
      </c>
      <c r="E89" s="20" t="s">
        <v>209</v>
      </c>
      <c r="F89" s="21" t="s">
        <v>1110</v>
      </c>
      <c r="G89" s="21">
        <v>15</v>
      </c>
      <c r="H89" s="21">
        <v>51</v>
      </c>
      <c r="I89" s="21">
        <v>39</v>
      </c>
      <c r="J89" s="42">
        <v>105</v>
      </c>
      <c r="K89" s="21">
        <v>15</v>
      </c>
      <c r="L89" s="21">
        <v>51</v>
      </c>
      <c r="M89" s="21">
        <v>5</v>
      </c>
      <c r="N89" s="21">
        <v>34</v>
      </c>
      <c r="O89" s="21">
        <v>39</v>
      </c>
      <c r="P89" s="21">
        <v>0</v>
      </c>
      <c r="Q89" s="21"/>
      <c r="R89" s="20">
        <f t="shared" si="9"/>
        <v>105</v>
      </c>
      <c r="S89" s="22">
        <f t="shared" si="10"/>
        <v>300086</v>
      </c>
      <c r="T89" s="22">
        <f>COUNTIF($V$4:V89,V89)</f>
        <v>9</v>
      </c>
      <c r="U89" s="22" t="str">
        <f>IF(T89=1,COUNTIF($T$4:T89,1),"")</f>
        <v/>
      </c>
      <c r="V89" s="23" t="str">
        <f t="shared" si="11"/>
        <v>東区03認定こども園</v>
      </c>
      <c r="W89" s="23" t="str">
        <f t="shared" si="12"/>
        <v>幼保連携型認定こども園もえれのもり</v>
      </c>
      <c r="X89" s="24">
        <v>85</v>
      </c>
      <c r="Y89" s="30" t="str">
        <f t="shared" si="7"/>
        <v/>
      </c>
      <c r="Z89" s="1304" t="str">
        <f t="shared" si="13"/>
        <v/>
      </c>
      <c r="AA89" s="1304" t="str">
        <f t="shared" si="13"/>
        <v/>
      </c>
      <c r="AB89" s="1309" t="str">
        <f t="shared" si="13"/>
        <v/>
      </c>
      <c r="AC89" s="1309" t="str">
        <f t="shared" si="13"/>
        <v/>
      </c>
      <c r="AD89" s="1309" t="str">
        <f t="shared" si="13"/>
        <v/>
      </c>
      <c r="AE89" s="1309" t="str">
        <f t="shared" si="13"/>
        <v/>
      </c>
      <c r="AF89" s="1309" t="str">
        <f t="shared" si="13"/>
        <v/>
      </c>
      <c r="AG89" s="1309" t="str">
        <f t="shared" si="13"/>
        <v/>
      </c>
      <c r="AH89" s="1305" t="str">
        <f t="shared" si="13"/>
        <v/>
      </c>
      <c r="AI89" s="1305">
        <f t="shared" si="13"/>
        <v>0</v>
      </c>
      <c r="AJ89" s="1305"/>
      <c r="AK89" s="1305"/>
      <c r="AL89" s="1305"/>
      <c r="AM89" s="1305"/>
      <c r="AN89" s="1305"/>
      <c r="AO89" s="1305"/>
      <c r="AP89" s="1305"/>
      <c r="AQ89" s="1305"/>
      <c r="AR89" s="1305"/>
      <c r="AS89" s="1305"/>
      <c r="AT89" s="1305"/>
      <c r="AU89" s="1305"/>
      <c r="AV89" s="1305"/>
      <c r="AW89" s="1305"/>
      <c r="AX89" s="1305"/>
      <c r="AY89" s="1305"/>
      <c r="AZ89" s="1305"/>
      <c r="BA89" s="1305"/>
      <c r="BB89" s="1305"/>
      <c r="BC89" s="1305"/>
      <c r="BD89" s="1305"/>
      <c r="BE89" s="1305"/>
      <c r="BF89" s="1305"/>
      <c r="BG89" s="1305"/>
      <c r="BH89" s="1305"/>
      <c r="BI89" s="1305"/>
      <c r="BJ89" s="1305"/>
      <c r="BK89" s="1305"/>
      <c r="BL89" s="1305"/>
      <c r="BM89" s="1305"/>
      <c r="BN89" s="1305"/>
      <c r="BO89" s="1305"/>
      <c r="BP89" s="1305"/>
      <c r="BQ89" s="1305"/>
      <c r="BR89" s="1305"/>
      <c r="BS89" s="1305"/>
      <c r="BT89" s="1305"/>
      <c r="BU89" s="1305"/>
      <c r="BV89" s="1305"/>
      <c r="BW89" s="1305"/>
      <c r="BX89" s="1305"/>
      <c r="BY89" s="1305"/>
      <c r="BZ89" s="1305"/>
      <c r="CA89" s="1305"/>
      <c r="CB89" s="1305"/>
      <c r="CC89" s="1305"/>
      <c r="CD89" s="1305"/>
      <c r="CE89" s="1305"/>
      <c r="CF89" s="1305"/>
      <c r="CG89" s="1305"/>
      <c r="CH89" s="1305"/>
      <c r="CI89" s="1305"/>
      <c r="CJ89" s="1305"/>
      <c r="CK89" s="1305"/>
      <c r="CL89" s="1305"/>
      <c r="CM89" s="1305"/>
      <c r="CN89" s="1305"/>
      <c r="CO89" s="1305"/>
      <c r="CP89" s="1305"/>
      <c r="CQ89" s="1305"/>
      <c r="CR89" s="1305"/>
      <c r="CS89" s="1305"/>
      <c r="CT89" s="1305"/>
      <c r="CU89" s="1305"/>
      <c r="CV89" s="1305"/>
      <c r="CW89" s="1305"/>
      <c r="CX89" s="1305"/>
      <c r="CY89" s="1305"/>
      <c r="CZ89" s="1305"/>
      <c r="DA89" s="1308"/>
    </row>
    <row r="90" spans="1:256" ht="11.25" customHeight="1" outlineLevel="1">
      <c r="A90" s="16">
        <v>300090</v>
      </c>
      <c r="B90" s="20" t="s">
        <v>199</v>
      </c>
      <c r="C90" s="20" t="s">
        <v>531</v>
      </c>
      <c r="D90" s="20" t="s">
        <v>1078</v>
      </c>
      <c r="E90" s="20" t="s">
        <v>209</v>
      </c>
      <c r="F90" s="21" t="s">
        <v>1111</v>
      </c>
      <c r="G90" s="21">
        <v>165</v>
      </c>
      <c r="H90" s="21">
        <v>35</v>
      </c>
      <c r="I90" s="21">
        <v>25</v>
      </c>
      <c r="J90" s="42">
        <v>225</v>
      </c>
      <c r="K90" s="21">
        <v>165</v>
      </c>
      <c r="L90" s="21">
        <v>35</v>
      </c>
      <c r="M90" s="21">
        <v>3</v>
      </c>
      <c r="N90" s="21">
        <v>22</v>
      </c>
      <c r="O90" s="21">
        <v>25</v>
      </c>
      <c r="P90" s="21">
        <v>0</v>
      </c>
      <c r="Q90" s="21"/>
      <c r="R90" s="20">
        <f t="shared" si="9"/>
        <v>225</v>
      </c>
      <c r="S90" s="22">
        <f t="shared" si="10"/>
        <v>300090</v>
      </c>
      <c r="T90" s="22">
        <f>COUNTIF($V$4:V90,V90)</f>
        <v>10</v>
      </c>
      <c r="U90" s="22" t="str">
        <f>IF(T90=1,COUNTIF($T$4:T90,1),"")</f>
        <v/>
      </c>
      <c r="V90" s="23" t="str">
        <f t="shared" si="11"/>
        <v>東区03認定こども園</v>
      </c>
      <c r="W90" s="23" t="str">
        <f t="shared" si="12"/>
        <v>認定こども園栄光幼稚園</v>
      </c>
      <c r="X90" s="24">
        <v>86</v>
      </c>
      <c r="Y90" s="30" t="str">
        <f t="shared" si="7"/>
        <v/>
      </c>
      <c r="Z90" s="1304" t="str">
        <f t="shared" si="13"/>
        <v/>
      </c>
      <c r="AA90" s="1304" t="str">
        <f t="shared" si="13"/>
        <v/>
      </c>
      <c r="AB90" s="1309" t="str">
        <f t="shared" si="13"/>
        <v/>
      </c>
      <c r="AC90" s="1309" t="str">
        <f t="shared" si="13"/>
        <v/>
      </c>
      <c r="AD90" s="1309" t="str">
        <f t="shared" si="13"/>
        <v/>
      </c>
      <c r="AE90" s="1309" t="str">
        <f t="shared" si="13"/>
        <v/>
      </c>
      <c r="AF90" s="1309" t="str">
        <f t="shared" si="13"/>
        <v/>
      </c>
      <c r="AG90" s="1309" t="str">
        <f t="shared" si="13"/>
        <v/>
      </c>
      <c r="AH90" s="1305" t="str">
        <f t="shared" si="13"/>
        <v/>
      </c>
      <c r="AI90" s="1305">
        <f t="shared" si="13"/>
        <v>0</v>
      </c>
      <c r="AJ90" s="1305"/>
      <c r="AK90" s="1305"/>
      <c r="AL90" s="1305"/>
      <c r="AM90" s="1305"/>
      <c r="AN90" s="1305"/>
      <c r="AO90" s="1305"/>
      <c r="AP90" s="1305"/>
      <c r="AQ90" s="1305"/>
      <c r="AR90" s="1305"/>
      <c r="AS90" s="1305"/>
      <c r="AT90" s="1305"/>
      <c r="AU90" s="1305"/>
      <c r="AV90" s="1305"/>
      <c r="AW90" s="1305"/>
      <c r="AX90" s="1305"/>
      <c r="AY90" s="1305"/>
      <c r="AZ90" s="1305"/>
      <c r="BA90" s="1305"/>
      <c r="BB90" s="1305"/>
      <c r="BC90" s="1305"/>
      <c r="BD90" s="1305"/>
      <c r="BE90" s="1305"/>
      <c r="BF90" s="1305"/>
      <c r="BG90" s="1305"/>
      <c r="BH90" s="1305"/>
      <c r="BI90" s="1305"/>
      <c r="BJ90" s="1305"/>
      <c r="BK90" s="1305"/>
      <c r="BL90" s="1305"/>
      <c r="BM90" s="1305"/>
      <c r="BN90" s="1305"/>
      <c r="BO90" s="1305"/>
      <c r="BP90" s="1305"/>
      <c r="BQ90" s="1305"/>
      <c r="BR90" s="1305"/>
      <c r="BS90" s="1305"/>
      <c r="BT90" s="1305"/>
      <c r="BU90" s="1305"/>
      <c r="BV90" s="1305"/>
      <c r="BW90" s="1305"/>
      <c r="BX90" s="1305"/>
      <c r="BY90" s="1305"/>
      <c r="BZ90" s="1305"/>
      <c r="CA90" s="1305"/>
      <c r="CB90" s="1305"/>
      <c r="CC90" s="1305"/>
      <c r="CD90" s="1305"/>
      <c r="CE90" s="1305"/>
      <c r="CF90" s="1305"/>
      <c r="CG90" s="1305"/>
      <c r="CH90" s="1305"/>
      <c r="CI90" s="1305"/>
      <c r="CJ90" s="1305"/>
      <c r="CK90" s="1305"/>
      <c r="CL90" s="1305"/>
      <c r="CM90" s="1305"/>
      <c r="CN90" s="1305"/>
      <c r="CO90" s="1305"/>
      <c r="CP90" s="1305"/>
      <c r="CQ90" s="1305"/>
      <c r="CR90" s="1305"/>
      <c r="CS90" s="1305"/>
      <c r="CT90" s="1305"/>
      <c r="CU90" s="1305"/>
      <c r="CV90" s="1305"/>
      <c r="CW90" s="1305"/>
      <c r="CX90" s="1305"/>
      <c r="CY90" s="1305"/>
      <c r="CZ90" s="1305"/>
      <c r="DA90" s="1308"/>
    </row>
    <row r="91" spans="1:256" ht="11.25" customHeight="1" outlineLevel="1">
      <c r="A91" s="16">
        <v>300093</v>
      </c>
      <c r="B91" s="20" t="s">
        <v>199</v>
      </c>
      <c r="C91" s="20" t="s">
        <v>531</v>
      </c>
      <c r="D91" s="20" t="s">
        <v>1078</v>
      </c>
      <c r="E91" s="20" t="s">
        <v>209</v>
      </c>
      <c r="F91" s="21" t="s">
        <v>1652</v>
      </c>
      <c r="G91" s="21">
        <v>8</v>
      </c>
      <c r="H91" s="21">
        <v>44</v>
      </c>
      <c r="I91" s="21">
        <v>36</v>
      </c>
      <c r="J91" s="42">
        <v>88</v>
      </c>
      <c r="K91" s="21">
        <v>8</v>
      </c>
      <c r="L91" s="21">
        <v>44</v>
      </c>
      <c r="M91" s="21">
        <v>8</v>
      </c>
      <c r="N91" s="21">
        <v>28</v>
      </c>
      <c r="O91" s="21">
        <v>36</v>
      </c>
      <c r="P91" s="21">
        <v>0</v>
      </c>
      <c r="Q91" s="21"/>
      <c r="R91" s="20">
        <f t="shared" si="9"/>
        <v>88</v>
      </c>
      <c r="S91" s="22">
        <f t="shared" si="10"/>
        <v>300093</v>
      </c>
      <c r="T91" s="22">
        <f>COUNTIF($V$4:V91,V91)</f>
        <v>11</v>
      </c>
      <c r="U91" s="22" t="str">
        <f>IF(T91=1,COUNTIF($T$4:T91,1),"")</f>
        <v/>
      </c>
      <c r="V91" s="23" t="str">
        <f t="shared" si="11"/>
        <v>東区03認定こども園</v>
      </c>
      <c r="W91" s="23" t="str">
        <f t="shared" si="12"/>
        <v>幼保連携型認定こども園もえれ保育園</v>
      </c>
      <c r="X91" s="24">
        <v>87</v>
      </c>
      <c r="Y91" s="30" t="str">
        <f t="shared" si="7"/>
        <v/>
      </c>
      <c r="Z91" s="1304" t="str">
        <f t="shared" si="13"/>
        <v/>
      </c>
      <c r="AA91" s="1304" t="str">
        <f t="shared" si="13"/>
        <v/>
      </c>
      <c r="AB91" s="1309" t="str">
        <f t="shared" si="13"/>
        <v/>
      </c>
      <c r="AC91" s="1309" t="str">
        <f t="shared" si="13"/>
        <v/>
      </c>
      <c r="AD91" s="1309" t="str">
        <f t="shared" si="13"/>
        <v/>
      </c>
      <c r="AE91" s="1309" t="str">
        <f t="shared" si="13"/>
        <v/>
      </c>
      <c r="AF91" s="1309" t="str">
        <f t="shared" si="13"/>
        <v/>
      </c>
      <c r="AG91" s="1309" t="str">
        <f t="shared" si="13"/>
        <v/>
      </c>
      <c r="AH91" s="1305" t="str">
        <f t="shared" si="13"/>
        <v/>
      </c>
      <c r="AI91" s="1305">
        <f t="shared" si="13"/>
        <v>0</v>
      </c>
      <c r="AJ91" s="1305"/>
      <c r="AK91" s="1305"/>
      <c r="AL91" s="1305"/>
      <c r="AM91" s="1305"/>
      <c r="AN91" s="1305"/>
      <c r="AO91" s="1305"/>
      <c r="AP91" s="1305"/>
      <c r="AQ91" s="1305"/>
      <c r="AR91" s="1305"/>
      <c r="AS91" s="1305"/>
      <c r="AT91" s="1305"/>
      <c r="AU91" s="1305"/>
      <c r="AV91" s="1305"/>
      <c r="AW91" s="1305"/>
      <c r="AX91" s="1305"/>
      <c r="AY91" s="1305"/>
      <c r="AZ91" s="1305"/>
      <c r="BA91" s="1305"/>
      <c r="BB91" s="1305"/>
      <c r="BC91" s="1305"/>
      <c r="BD91" s="1305"/>
      <c r="BE91" s="1305"/>
      <c r="BF91" s="1305"/>
      <c r="BG91" s="1305"/>
      <c r="BH91" s="1305"/>
      <c r="BI91" s="1305"/>
      <c r="BJ91" s="1305"/>
      <c r="BK91" s="1305"/>
      <c r="BL91" s="1305"/>
      <c r="BM91" s="1305"/>
      <c r="BN91" s="1305"/>
      <c r="BO91" s="1305"/>
      <c r="BP91" s="1305"/>
      <c r="BQ91" s="1305"/>
      <c r="BR91" s="1305"/>
      <c r="BS91" s="1305"/>
      <c r="BT91" s="1305"/>
      <c r="BU91" s="1305"/>
      <c r="BV91" s="1305"/>
      <c r="BW91" s="1305"/>
      <c r="BX91" s="1305"/>
      <c r="BY91" s="1305"/>
      <c r="BZ91" s="1305"/>
      <c r="CA91" s="1305"/>
      <c r="CB91" s="1305"/>
      <c r="CC91" s="1305"/>
      <c r="CD91" s="1305"/>
      <c r="CE91" s="1305"/>
      <c r="CF91" s="1305"/>
      <c r="CG91" s="1305"/>
      <c r="CH91" s="1305"/>
      <c r="CI91" s="1305"/>
      <c r="CJ91" s="1305"/>
      <c r="CK91" s="1305"/>
      <c r="CL91" s="1305"/>
      <c r="CM91" s="1305"/>
      <c r="CN91" s="1305"/>
      <c r="CO91" s="1305"/>
      <c r="CP91" s="1305"/>
      <c r="CQ91" s="1305"/>
      <c r="CR91" s="1305"/>
      <c r="CS91" s="1305"/>
      <c r="CT91" s="1305"/>
      <c r="CU91" s="1305"/>
      <c r="CV91" s="1305"/>
      <c r="CW91" s="1305"/>
      <c r="CX91" s="1305"/>
      <c r="CY91" s="1305"/>
      <c r="CZ91" s="1305"/>
      <c r="DA91" s="1308"/>
    </row>
    <row r="92" spans="1:256" ht="11.25" customHeight="1" outlineLevel="1">
      <c r="A92" s="16">
        <v>300103</v>
      </c>
      <c r="B92" s="20" t="s">
        <v>199</v>
      </c>
      <c r="C92" s="20" t="s">
        <v>531</v>
      </c>
      <c r="D92" s="20" t="s">
        <v>1069</v>
      </c>
      <c r="E92" s="20" t="s">
        <v>209</v>
      </c>
      <c r="F92" s="21" t="s">
        <v>1112</v>
      </c>
      <c r="G92" s="21">
        <v>15</v>
      </c>
      <c r="H92" s="21">
        <v>51</v>
      </c>
      <c r="I92" s="21">
        <v>39</v>
      </c>
      <c r="J92" s="42">
        <v>105</v>
      </c>
      <c r="K92" s="21">
        <v>15</v>
      </c>
      <c r="L92" s="21">
        <v>51</v>
      </c>
      <c r="M92" s="21">
        <v>5</v>
      </c>
      <c r="N92" s="21">
        <v>34</v>
      </c>
      <c r="O92" s="21">
        <v>39</v>
      </c>
      <c r="P92" s="21">
        <v>0</v>
      </c>
      <c r="Q92" s="21"/>
      <c r="R92" s="20">
        <f t="shared" si="9"/>
        <v>105</v>
      </c>
      <c r="S92" s="22">
        <f t="shared" si="10"/>
        <v>300103</v>
      </c>
      <c r="T92" s="22">
        <f>COUNTIF($V$4:V92,V92)</f>
        <v>12</v>
      </c>
      <c r="U92" s="22" t="str">
        <f>IF(T92=1,COUNTIF($T$4:T92,1),"")</f>
        <v/>
      </c>
      <c r="V92" s="23" t="str">
        <f t="shared" si="11"/>
        <v>東区03認定こども園</v>
      </c>
      <c r="W92" s="23" t="str">
        <f t="shared" si="12"/>
        <v>幼保連携型認定こども園東苗穂スパークル園</v>
      </c>
      <c r="X92" s="24">
        <v>88</v>
      </c>
      <c r="Y92" s="30" t="str">
        <f t="shared" si="7"/>
        <v/>
      </c>
      <c r="Z92" s="1304" t="str">
        <f t="shared" si="13"/>
        <v/>
      </c>
      <c r="AA92" s="1304" t="str">
        <f t="shared" si="13"/>
        <v/>
      </c>
      <c r="AB92" s="1309" t="str">
        <f t="shared" si="13"/>
        <v/>
      </c>
      <c r="AC92" s="1309" t="str">
        <f t="shared" si="13"/>
        <v/>
      </c>
      <c r="AD92" s="1309" t="str">
        <f t="shared" si="13"/>
        <v/>
      </c>
      <c r="AE92" s="1309" t="str">
        <f t="shared" si="13"/>
        <v/>
      </c>
      <c r="AF92" s="1309" t="str">
        <f t="shared" si="13"/>
        <v/>
      </c>
      <c r="AG92" s="1309" t="str">
        <f t="shared" si="13"/>
        <v/>
      </c>
      <c r="AH92" s="1305" t="str">
        <f t="shared" si="13"/>
        <v/>
      </c>
      <c r="AI92" s="1305">
        <f t="shared" si="13"/>
        <v>0</v>
      </c>
      <c r="AJ92" s="1305"/>
      <c r="AK92" s="1305"/>
      <c r="AL92" s="1305"/>
      <c r="AM92" s="1305"/>
      <c r="AN92" s="1305"/>
      <c r="AO92" s="1305"/>
      <c r="AP92" s="1305"/>
      <c r="AQ92" s="1305"/>
      <c r="AR92" s="1305"/>
      <c r="AS92" s="1305"/>
      <c r="AT92" s="1305"/>
      <c r="AU92" s="1305"/>
      <c r="AV92" s="1305"/>
      <c r="AW92" s="1305"/>
      <c r="AX92" s="1305"/>
      <c r="AY92" s="1305"/>
      <c r="AZ92" s="1305"/>
      <c r="BA92" s="1305"/>
      <c r="BB92" s="1305"/>
      <c r="BC92" s="1305"/>
      <c r="BD92" s="1305"/>
      <c r="BE92" s="1305"/>
      <c r="BF92" s="1305"/>
      <c r="BG92" s="1305"/>
      <c r="BH92" s="1305"/>
      <c r="BI92" s="1305"/>
      <c r="BJ92" s="1305"/>
      <c r="BK92" s="1305"/>
      <c r="BL92" s="1305"/>
      <c r="BM92" s="1305"/>
      <c r="BN92" s="1305"/>
      <c r="BO92" s="1305"/>
      <c r="BP92" s="1305"/>
      <c r="BQ92" s="1305"/>
      <c r="BR92" s="1305"/>
      <c r="BS92" s="1305"/>
      <c r="BT92" s="1305"/>
      <c r="BU92" s="1305"/>
      <c r="BV92" s="1305"/>
      <c r="BW92" s="1305"/>
      <c r="BX92" s="1305"/>
      <c r="BY92" s="1305"/>
      <c r="BZ92" s="1305"/>
      <c r="CA92" s="1305"/>
      <c r="CB92" s="1305"/>
      <c r="CC92" s="1305"/>
      <c r="CD92" s="1305"/>
      <c r="CE92" s="1305"/>
      <c r="CF92" s="1305"/>
      <c r="CG92" s="1305"/>
      <c r="CH92" s="1305"/>
      <c r="CI92" s="1305"/>
      <c r="CJ92" s="1305"/>
      <c r="CK92" s="1305"/>
      <c r="CL92" s="1305"/>
      <c r="CM92" s="1305"/>
      <c r="CN92" s="1305"/>
      <c r="CO92" s="1305"/>
      <c r="CP92" s="1305"/>
      <c r="CQ92" s="1305"/>
      <c r="CR92" s="1305"/>
      <c r="CS92" s="1305"/>
      <c r="CT92" s="1305"/>
      <c r="CU92" s="1305"/>
      <c r="CV92" s="1305"/>
      <c r="CW92" s="1305"/>
      <c r="CX92" s="1305"/>
      <c r="CY92" s="1305"/>
      <c r="CZ92" s="1305"/>
      <c r="DA92" s="1308"/>
    </row>
    <row r="93" spans="1:256" ht="11.25" customHeight="1" outlineLevel="1">
      <c r="A93" s="16">
        <v>300111</v>
      </c>
      <c r="B93" s="20" t="s">
        <v>199</v>
      </c>
      <c r="C93" s="20" t="s">
        <v>531</v>
      </c>
      <c r="D93" s="20" t="s">
        <v>1646</v>
      </c>
      <c r="E93" s="20" t="s">
        <v>209</v>
      </c>
      <c r="F93" s="21" t="s">
        <v>1653</v>
      </c>
      <c r="G93" s="21">
        <v>135</v>
      </c>
      <c r="H93" s="21">
        <v>40</v>
      </c>
      <c r="I93" s="21">
        <v>0</v>
      </c>
      <c r="J93" s="42">
        <v>175</v>
      </c>
      <c r="K93" s="21">
        <v>135</v>
      </c>
      <c r="L93" s="21">
        <v>40</v>
      </c>
      <c r="M93" s="21">
        <v>0</v>
      </c>
      <c r="N93" s="21">
        <v>0</v>
      </c>
      <c r="O93" s="21">
        <v>0</v>
      </c>
      <c r="P93" s="21">
        <v>0</v>
      </c>
      <c r="Q93" s="21"/>
      <c r="R93" s="20">
        <f t="shared" si="9"/>
        <v>175</v>
      </c>
      <c r="S93" s="22">
        <f t="shared" si="10"/>
        <v>300111</v>
      </c>
      <c r="T93" s="22">
        <f>COUNTIF($V$4:V93,V93)</f>
        <v>13</v>
      </c>
      <c r="U93" s="22" t="str">
        <f>IF(T93=1,COUNTIF($T$4:T93,1),"")</f>
        <v/>
      </c>
      <c r="V93" s="23" t="str">
        <f t="shared" si="11"/>
        <v>東区03認定こども園</v>
      </c>
      <c r="W93" s="23" t="str">
        <f t="shared" si="12"/>
        <v>認定こども園札幌あかしや幼稚園</v>
      </c>
      <c r="X93" s="24">
        <v>89</v>
      </c>
      <c r="Y93" s="30" t="str">
        <f t="shared" si="7"/>
        <v/>
      </c>
      <c r="Z93" s="1304" t="str">
        <f t="shared" si="13"/>
        <v/>
      </c>
      <c r="AA93" s="1304" t="str">
        <f t="shared" si="13"/>
        <v/>
      </c>
      <c r="AB93" s="1309" t="str">
        <f t="shared" si="13"/>
        <v/>
      </c>
      <c r="AC93" s="1309" t="str">
        <f t="shared" si="13"/>
        <v/>
      </c>
      <c r="AD93" s="1309" t="str">
        <f t="shared" si="13"/>
        <v/>
      </c>
      <c r="AE93" s="1309" t="str">
        <f t="shared" si="13"/>
        <v/>
      </c>
      <c r="AF93" s="1309" t="str">
        <f t="shared" si="13"/>
        <v/>
      </c>
      <c r="AG93" s="1309" t="str">
        <f t="shared" si="13"/>
        <v/>
      </c>
      <c r="AH93" s="1305" t="str">
        <f t="shared" si="13"/>
        <v/>
      </c>
      <c r="AI93" s="1305">
        <f t="shared" si="13"/>
        <v>0</v>
      </c>
      <c r="AJ93" s="1305"/>
      <c r="AK93" s="1305"/>
      <c r="AL93" s="1305"/>
      <c r="AM93" s="1305"/>
      <c r="AN93" s="1305"/>
      <c r="AO93" s="1305"/>
      <c r="AP93" s="1305"/>
      <c r="AQ93" s="1305"/>
      <c r="AR93" s="1305"/>
      <c r="AS93" s="1305"/>
      <c r="AT93" s="1305"/>
      <c r="AU93" s="1305"/>
      <c r="AV93" s="1305"/>
      <c r="AW93" s="1305"/>
      <c r="AX93" s="1305"/>
      <c r="AY93" s="1305"/>
      <c r="AZ93" s="1305"/>
      <c r="BA93" s="1305"/>
      <c r="BB93" s="1305"/>
      <c r="BC93" s="1305"/>
      <c r="BD93" s="1305"/>
      <c r="BE93" s="1305"/>
      <c r="BF93" s="1305"/>
      <c r="BG93" s="1305"/>
      <c r="BH93" s="1305"/>
      <c r="BI93" s="1305"/>
      <c r="BJ93" s="1305"/>
      <c r="BK93" s="1305"/>
      <c r="BL93" s="1305"/>
      <c r="BM93" s="1305"/>
      <c r="BN93" s="1305"/>
      <c r="BO93" s="1305"/>
      <c r="BP93" s="1305"/>
      <c r="BQ93" s="1305"/>
      <c r="BR93" s="1305"/>
      <c r="BS93" s="1305"/>
      <c r="BT93" s="1305"/>
      <c r="BU93" s="1305"/>
      <c r="BV93" s="1305"/>
      <c r="BW93" s="1305"/>
      <c r="BX93" s="1305"/>
      <c r="BY93" s="1305"/>
      <c r="BZ93" s="1305"/>
      <c r="CA93" s="1305"/>
      <c r="CB93" s="1305"/>
      <c r="CC93" s="1305"/>
      <c r="CD93" s="1305"/>
      <c r="CE93" s="1305"/>
      <c r="CF93" s="1305"/>
      <c r="CG93" s="1305"/>
      <c r="CH93" s="1305"/>
      <c r="CI93" s="1305"/>
      <c r="CJ93" s="1305"/>
      <c r="CK93" s="1305"/>
      <c r="CL93" s="1305"/>
      <c r="CM93" s="1305"/>
      <c r="CN93" s="1305"/>
      <c r="CO93" s="1305"/>
      <c r="CP93" s="1305"/>
      <c r="CQ93" s="1305"/>
      <c r="CR93" s="1305"/>
      <c r="CS93" s="1305"/>
      <c r="CT93" s="1305"/>
      <c r="CU93" s="1305"/>
      <c r="CV93" s="1305"/>
      <c r="CW93" s="1305"/>
      <c r="CX93" s="1305"/>
      <c r="CY93" s="1305"/>
      <c r="CZ93" s="1305"/>
      <c r="DA93" s="1308"/>
    </row>
    <row r="94" spans="1:256" ht="11.25" customHeight="1" outlineLevel="1">
      <c r="A94" s="16">
        <v>300006</v>
      </c>
      <c r="B94" s="20" t="s">
        <v>199</v>
      </c>
      <c r="C94" s="20" t="s">
        <v>531</v>
      </c>
      <c r="D94" s="20" t="s">
        <v>1067</v>
      </c>
      <c r="E94" s="20" t="s">
        <v>209</v>
      </c>
      <c r="F94" s="21" t="s">
        <v>1095</v>
      </c>
      <c r="G94" s="21">
        <v>10</v>
      </c>
      <c r="H94" s="21">
        <v>49</v>
      </c>
      <c r="I94" s="21">
        <v>41</v>
      </c>
      <c r="J94" s="42">
        <v>100</v>
      </c>
      <c r="K94" s="21">
        <v>10</v>
      </c>
      <c r="L94" s="21">
        <v>49</v>
      </c>
      <c r="M94" s="21">
        <v>9</v>
      </c>
      <c r="N94" s="21">
        <v>32</v>
      </c>
      <c r="O94" s="21">
        <v>41</v>
      </c>
      <c r="P94" s="21">
        <v>0</v>
      </c>
      <c r="Q94" s="21"/>
      <c r="R94" s="20">
        <f t="shared" si="9"/>
        <v>100</v>
      </c>
      <c r="S94" s="22">
        <f t="shared" si="10"/>
        <v>300006</v>
      </c>
      <c r="T94" s="22">
        <f>COUNTIF($V$4:V94,V94)</f>
        <v>14</v>
      </c>
      <c r="U94" s="22" t="str">
        <f>IF(T94=1,COUNTIF($T$4:T94,1),"")</f>
        <v/>
      </c>
      <c r="V94" s="23" t="str">
        <f t="shared" si="11"/>
        <v>東区03認定こども園</v>
      </c>
      <c r="W94" s="23" t="str">
        <f t="shared" si="12"/>
        <v>開成いちい認定こども園</v>
      </c>
      <c r="X94" s="24">
        <v>90</v>
      </c>
      <c r="Y94" s="30" t="str">
        <f t="shared" si="7"/>
        <v/>
      </c>
      <c r="Z94" s="1304" t="str">
        <f t="shared" si="13"/>
        <v/>
      </c>
      <c r="AA94" s="1304" t="str">
        <f t="shared" si="13"/>
        <v/>
      </c>
      <c r="AB94" s="1309" t="str">
        <f t="shared" si="13"/>
        <v/>
      </c>
      <c r="AC94" s="1309" t="str">
        <f t="shared" si="13"/>
        <v/>
      </c>
      <c r="AD94" s="1309" t="str">
        <f t="shared" si="13"/>
        <v/>
      </c>
      <c r="AE94" s="1309" t="str">
        <f t="shared" si="13"/>
        <v/>
      </c>
      <c r="AF94" s="1309" t="str">
        <f t="shared" si="13"/>
        <v/>
      </c>
      <c r="AG94" s="1309" t="str">
        <f t="shared" si="13"/>
        <v/>
      </c>
      <c r="AH94" s="1305" t="str">
        <f t="shared" si="13"/>
        <v/>
      </c>
      <c r="AI94" s="1305">
        <f t="shared" si="13"/>
        <v>0</v>
      </c>
      <c r="AJ94" s="1305"/>
      <c r="AK94" s="1305"/>
      <c r="AL94" s="1305"/>
      <c r="AM94" s="1305"/>
      <c r="AN94" s="1305"/>
      <c r="AO94" s="1305"/>
      <c r="AP94" s="1305"/>
      <c r="AQ94" s="1305"/>
      <c r="AR94" s="1305"/>
      <c r="AS94" s="1305"/>
      <c r="AT94" s="1305"/>
      <c r="AU94" s="1305"/>
      <c r="AV94" s="1305"/>
      <c r="AW94" s="1305"/>
      <c r="AX94" s="1305"/>
      <c r="AY94" s="1305"/>
      <c r="AZ94" s="1305"/>
      <c r="BA94" s="1305"/>
      <c r="BB94" s="1305"/>
      <c r="BC94" s="1305"/>
      <c r="BD94" s="1305"/>
      <c r="BE94" s="1305"/>
      <c r="BF94" s="1305"/>
      <c r="BG94" s="1305"/>
      <c r="BH94" s="1305"/>
      <c r="BI94" s="1305"/>
      <c r="BJ94" s="1305"/>
      <c r="BK94" s="1305"/>
      <c r="BL94" s="1305"/>
      <c r="BM94" s="1305"/>
      <c r="BN94" s="1305"/>
      <c r="BO94" s="1305"/>
      <c r="BP94" s="1305"/>
      <c r="BQ94" s="1305"/>
      <c r="BR94" s="1305"/>
      <c r="BS94" s="1305"/>
      <c r="BT94" s="1305"/>
      <c r="BU94" s="1305"/>
      <c r="BV94" s="1305"/>
      <c r="BW94" s="1305"/>
      <c r="BX94" s="1305"/>
      <c r="BY94" s="1305"/>
      <c r="BZ94" s="1305"/>
      <c r="CA94" s="1305"/>
      <c r="CB94" s="1305"/>
      <c r="CC94" s="1305"/>
      <c r="CD94" s="1305"/>
      <c r="CE94" s="1305"/>
      <c r="CF94" s="1305"/>
      <c r="CG94" s="1305"/>
      <c r="CH94" s="1305"/>
      <c r="CI94" s="1305"/>
      <c r="CJ94" s="1305"/>
      <c r="CK94" s="1305"/>
      <c r="CL94" s="1305"/>
      <c r="CM94" s="1305"/>
      <c r="CN94" s="1305"/>
      <c r="CO94" s="1305"/>
      <c r="CP94" s="1305"/>
      <c r="CQ94" s="1305"/>
      <c r="CR94" s="1305"/>
      <c r="CS94" s="1305"/>
      <c r="CT94" s="1305"/>
      <c r="CU94" s="1305"/>
      <c r="CV94" s="1305"/>
      <c r="CW94" s="1305"/>
      <c r="CX94" s="1305"/>
      <c r="CY94" s="1305"/>
      <c r="CZ94" s="1305"/>
      <c r="DA94" s="1308"/>
    </row>
    <row r="95" spans="1:256" ht="11.25" customHeight="1" outlineLevel="1">
      <c r="A95" s="16">
        <v>300008</v>
      </c>
      <c r="B95" s="20" t="s">
        <v>199</v>
      </c>
      <c r="C95" s="20" t="s">
        <v>531</v>
      </c>
      <c r="D95" s="20" t="s">
        <v>1067</v>
      </c>
      <c r="E95" s="20" t="s">
        <v>209</v>
      </c>
      <c r="F95" s="21" t="s">
        <v>1301</v>
      </c>
      <c r="G95" s="21">
        <v>15</v>
      </c>
      <c r="H95" s="21">
        <v>54</v>
      </c>
      <c r="I95" s="21">
        <v>36</v>
      </c>
      <c r="J95" s="42">
        <v>105</v>
      </c>
      <c r="K95" s="21">
        <v>15</v>
      </c>
      <c r="L95" s="21">
        <v>45</v>
      </c>
      <c r="M95" s="21">
        <v>6</v>
      </c>
      <c r="N95" s="21">
        <v>29</v>
      </c>
      <c r="O95" s="21">
        <v>35</v>
      </c>
      <c r="P95" s="21">
        <v>0</v>
      </c>
      <c r="Q95" s="21"/>
      <c r="R95" s="20">
        <f t="shared" si="9"/>
        <v>95</v>
      </c>
      <c r="S95" s="22">
        <f t="shared" si="10"/>
        <v>300008</v>
      </c>
      <c r="T95" s="22">
        <f>COUNTIF($V$4:V95,V95)</f>
        <v>15</v>
      </c>
      <c r="U95" s="22" t="str">
        <f>IF(T95=1,COUNTIF($T$4:T95,1),"")</f>
        <v/>
      </c>
      <c r="V95" s="23" t="str">
        <f t="shared" si="11"/>
        <v>東区03認定こども園</v>
      </c>
      <c r="W95" s="23" t="str">
        <f t="shared" si="12"/>
        <v>麻生むつみこども園</v>
      </c>
      <c r="X95" s="24">
        <v>91</v>
      </c>
      <c r="Y95" s="30" t="str">
        <f t="shared" si="7"/>
        <v/>
      </c>
      <c r="Z95" s="1304" t="str">
        <f t="shared" si="13"/>
        <v/>
      </c>
      <c r="AA95" s="1304" t="str">
        <f t="shared" si="13"/>
        <v/>
      </c>
      <c r="AB95" s="1309" t="str">
        <f t="shared" si="13"/>
        <v/>
      </c>
      <c r="AC95" s="1309" t="str">
        <f t="shared" si="13"/>
        <v/>
      </c>
      <c r="AD95" s="1309" t="str">
        <f t="shared" si="13"/>
        <v/>
      </c>
      <c r="AE95" s="1309" t="str">
        <f t="shared" si="13"/>
        <v/>
      </c>
      <c r="AF95" s="1309" t="str">
        <f t="shared" si="13"/>
        <v/>
      </c>
      <c r="AG95" s="1309" t="str">
        <f t="shared" si="13"/>
        <v/>
      </c>
      <c r="AH95" s="1305" t="str">
        <f t="shared" si="13"/>
        <v/>
      </c>
      <c r="AI95" s="1305">
        <f t="shared" si="13"/>
        <v>0</v>
      </c>
      <c r="AJ95" s="1305"/>
      <c r="AK95" s="1305"/>
      <c r="AL95" s="1305"/>
      <c r="AM95" s="1305"/>
      <c r="AN95" s="1305"/>
      <c r="AO95" s="1305"/>
      <c r="AP95" s="1305"/>
      <c r="AQ95" s="1305"/>
      <c r="AR95" s="1305"/>
      <c r="AS95" s="1305"/>
      <c r="AT95" s="1305"/>
      <c r="AU95" s="1305"/>
      <c r="AV95" s="1305"/>
      <c r="AW95" s="1305"/>
      <c r="AX95" s="1305"/>
      <c r="AY95" s="1305"/>
      <c r="AZ95" s="1305"/>
      <c r="BA95" s="1305"/>
      <c r="BB95" s="1305"/>
      <c r="BC95" s="1305"/>
      <c r="BD95" s="1305"/>
      <c r="BE95" s="1305"/>
      <c r="BF95" s="1305"/>
      <c r="BG95" s="1305"/>
      <c r="BH95" s="1305"/>
      <c r="BI95" s="1305"/>
      <c r="BJ95" s="1305"/>
      <c r="BK95" s="1305"/>
      <c r="BL95" s="1305"/>
      <c r="BM95" s="1305"/>
      <c r="BN95" s="1305"/>
      <c r="BO95" s="1305"/>
      <c r="BP95" s="1305"/>
      <c r="BQ95" s="1305"/>
      <c r="BR95" s="1305"/>
      <c r="BS95" s="1305"/>
      <c r="BT95" s="1305"/>
      <c r="BU95" s="1305"/>
      <c r="BV95" s="1305"/>
      <c r="BW95" s="1305"/>
      <c r="BX95" s="1305"/>
      <c r="BY95" s="1305"/>
      <c r="BZ95" s="1305"/>
      <c r="CA95" s="1305"/>
      <c r="CB95" s="1305"/>
      <c r="CC95" s="1305"/>
      <c r="CD95" s="1305"/>
      <c r="CE95" s="1305"/>
      <c r="CF95" s="1305"/>
      <c r="CG95" s="1305"/>
      <c r="CH95" s="1305"/>
      <c r="CI95" s="1305"/>
      <c r="CJ95" s="1305"/>
      <c r="CK95" s="1305"/>
      <c r="CL95" s="1305"/>
      <c r="CM95" s="1305"/>
      <c r="CN95" s="1305"/>
      <c r="CO95" s="1305"/>
      <c r="CP95" s="1305"/>
      <c r="CQ95" s="1305"/>
      <c r="CR95" s="1305"/>
      <c r="CS95" s="1305"/>
      <c r="CT95" s="1305"/>
      <c r="CU95" s="1305"/>
      <c r="CV95" s="1305"/>
      <c r="CW95" s="1305"/>
      <c r="CX95" s="1305"/>
      <c r="CY95" s="1305"/>
      <c r="CZ95" s="1305"/>
      <c r="DA95" s="1308"/>
    </row>
    <row r="96" spans="1:256" ht="11.25" customHeight="1" outlineLevel="1">
      <c r="A96" s="16">
        <v>300015</v>
      </c>
      <c r="B96" s="20" t="s">
        <v>199</v>
      </c>
      <c r="C96" s="20" t="s">
        <v>531</v>
      </c>
      <c r="D96" s="20" t="s">
        <v>1067</v>
      </c>
      <c r="E96" s="20" t="s">
        <v>209</v>
      </c>
      <c r="F96" s="21" t="s">
        <v>1430</v>
      </c>
      <c r="G96" s="21">
        <v>15</v>
      </c>
      <c r="H96" s="21">
        <v>66</v>
      </c>
      <c r="I96" s="21">
        <v>54</v>
      </c>
      <c r="J96" s="42">
        <v>135</v>
      </c>
      <c r="K96" s="21">
        <v>15</v>
      </c>
      <c r="L96" s="21">
        <v>60</v>
      </c>
      <c r="M96" s="21">
        <v>15</v>
      </c>
      <c r="N96" s="21">
        <v>35</v>
      </c>
      <c r="O96" s="21">
        <v>50</v>
      </c>
      <c r="P96" s="21">
        <v>0</v>
      </c>
      <c r="Q96" s="21"/>
      <c r="R96" s="20">
        <f t="shared" si="9"/>
        <v>125</v>
      </c>
      <c r="S96" s="22">
        <f t="shared" si="10"/>
        <v>300015</v>
      </c>
      <c r="T96" s="22">
        <f>COUNTIF($V$4:V96,V96)</f>
        <v>16</v>
      </c>
      <c r="U96" s="22" t="str">
        <f>IF(T96=1,COUNTIF($T$4:T96,1),"")</f>
        <v/>
      </c>
      <c r="V96" s="23" t="str">
        <f t="shared" si="11"/>
        <v>東区03認定こども園</v>
      </c>
      <c r="W96" s="23" t="str">
        <f t="shared" si="12"/>
        <v>北栄保育園</v>
      </c>
      <c r="X96" s="24">
        <v>92</v>
      </c>
      <c r="Y96" s="30" t="str">
        <f t="shared" si="7"/>
        <v/>
      </c>
      <c r="Z96" s="1304" t="str">
        <f t="shared" si="13"/>
        <v/>
      </c>
      <c r="AA96" s="1304" t="str">
        <f t="shared" si="13"/>
        <v/>
      </c>
      <c r="AB96" s="1309" t="str">
        <f t="shared" si="13"/>
        <v/>
      </c>
      <c r="AC96" s="1309" t="str">
        <f t="shared" si="13"/>
        <v/>
      </c>
      <c r="AD96" s="1309" t="str">
        <f t="shared" si="13"/>
        <v/>
      </c>
      <c r="AE96" s="1309" t="str">
        <f t="shared" si="13"/>
        <v/>
      </c>
      <c r="AF96" s="1309" t="str">
        <f t="shared" si="13"/>
        <v/>
      </c>
      <c r="AG96" s="1309" t="str">
        <f t="shared" si="13"/>
        <v/>
      </c>
      <c r="AH96" s="1305" t="str">
        <f t="shared" si="13"/>
        <v/>
      </c>
      <c r="AI96" s="1305">
        <f t="shared" si="13"/>
        <v>0</v>
      </c>
      <c r="AJ96" s="1305"/>
      <c r="AK96" s="1305"/>
      <c r="AL96" s="1305"/>
      <c r="AM96" s="1305"/>
      <c r="AN96" s="1305"/>
      <c r="AO96" s="1305"/>
      <c r="AP96" s="1305"/>
      <c r="AQ96" s="1305"/>
      <c r="AR96" s="1305"/>
      <c r="AS96" s="1305"/>
      <c r="AT96" s="1305"/>
      <c r="AU96" s="1305"/>
      <c r="AV96" s="1305"/>
      <c r="AW96" s="1305"/>
      <c r="AX96" s="1305"/>
      <c r="AY96" s="1305"/>
      <c r="AZ96" s="1305"/>
      <c r="BA96" s="1305"/>
      <c r="BB96" s="1305"/>
      <c r="BC96" s="1305"/>
      <c r="BD96" s="1305"/>
      <c r="BE96" s="1305"/>
      <c r="BF96" s="1305"/>
      <c r="BG96" s="1305"/>
      <c r="BH96" s="1305"/>
      <c r="BI96" s="1305"/>
      <c r="BJ96" s="1305"/>
      <c r="BK96" s="1305"/>
      <c r="BL96" s="1305"/>
      <c r="BM96" s="1305"/>
      <c r="BN96" s="1305"/>
      <c r="BO96" s="1305"/>
      <c r="BP96" s="1305"/>
      <c r="BQ96" s="1305"/>
      <c r="BR96" s="1305"/>
      <c r="BS96" s="1305"/>
      <c r="BT96" s="1305"/>
      <c r="BU96" s="1305"/>
      <c r="BV96" s="1305"/>
      <c r="BW96" s="1305"/>
      <c r="BX96" s="1305"/>
      <c r="BY96" s="1305"/>
      <c r="BZ96" s="1305"/>
      <c r="CA96" s="1305"/>
      <c r="CB96" s="1305"/>
      <c r="CC96" s="1305"/>
      <c r="CD96" s="1305"/>
      <c r="CE96" s="1305"/>
      <c r="CF96" s="1305"/>
      <c r="CG96" s="1305"/>
      <c r="CH96" s="1305"/>
      <c r="CI96" s="1305"/>
      <c r="CJ96" s="1305"/>
      <c r="CK96" s="1305"/>
      <c r="CL96" s="1305"/>
      <c r="CM96" s="1305"/>
      <c r="CN96" s="1305"/>
      <c r="CO96" s="1305"/>
      <c r="CP96" s="1305"/>
      <c r="CQ96" s="1305"/>
      <c r="CR96" s="1305"/>
      <c r="CS96" s="1305"/>
      <c r="CT96" s="1305"/>
      <c r="CU96" s="1305"/>
      <c r="CV96" s="1305"/>
      <c r="CW96" s="1305"/>
      <c r="CX96" s="1305"/>
      <c r="CY96" s="1305"/>
      <c r="CZ96" s="1305"/>
      <c r="DA96" s="1308"/>
    </row>
    <row r="97" spans="1:105" ht="11.25" customHeight="1" outlineLevel="1">
      <c r="A97" s="16">
        <v>300017</v>
      </c>
      <c r="B97" s="20" t="s">
        <v>199</v>
      </c>
      <c r="C97" s="20" t="s">
        <v>531</v>
      </c>
      <c r="D97" s="20" t="s">
        <v>1067</v>
      </c>
      <c r="E97" s="20" t="s">
        <v>209</v>
      </c>
      <c r="F97" s="21" t="s">
        <v>1302</v>
      </c>
      <c r="G97" s="21">
        <v>10</v>
      </c>
      <c r="H97" s="21">
        <v>53</v>
      </c>
      <c r="I97" s="21">
        <v>37</v>
      </c>
      <c r="J97" s="42">
        <v>100</v>
      </c>
      <c r="K97" s="21">
        <v>10</v>
      </c>
      <c r="L97" s="21">
        <v>53</v>
      </c>
      <c r="M97" s="21">
        <v>11</v>
      </c>
      <c r="N97" s="21">
        <v>26</v>
      </c>
      <c r="O97" s="21">
        <v>37</v>
      </c>
      <c r="P97" s="21">
        <v>0</v>
      </c>
      <c r="Q97" s="21"/>
      <c r="R97" s="20">
        <f t="shared" si="9"/>
        <v>100</v>
      </c>
      <c r="S97" s="22">
        <f t="shared" si="10"/>
        <v>300017</v>
      </c>
      <c r="T97" s="22">
        <f>COUNTIF($V$4:V97,V97)</f>
        <v>17</v>
      </c>
      <c r="U97" s="22" t="str">
        <f>IF(T97=1,COUNTIF($T$4:T97,1),"")</f>
        <v/>
      </c>
      <c r="V97" s="23" t="str">
        <f t="shared" si="11"/>
        <v>東区03認定こども園</v>
      </c>
      <c r="W97" s="23" t="str">
        <f t="shared" si="12"/>
        <v>認定こども園元町杉の子保育園</v>
      </c>
      <c r="X97" s="24">
        <v>93</v>
      </c>
      <c r="Y97" s="30" t="str">
        <f t="shared" si="7"/>
        <v/>
      </c>
      <c r="Z97" s="1304" t="str">
        <f t="shared" si="13"/>
        <v/>
      </c>
      <c r="AA97" s="1304" t="str">
        <f t="shared" si="13"/>
        <v/>
      </c>
      <c r="AB97" s="1309" t="str">
        <f t="shared" si="13"/>
        <v/>
      </c>
      <c r="AC97" s="1309" t="str">
        <f t="shared" si="13"/>
        <v/>
      </c>
      <c r="AD97" s="1309" t="str">
        <f t="shared" si="13"/>
        <v/>
      </c>
      <c r="AE97" s="1309" t="str">
        <f t="shared" si="13"/>
        <v/>
      </c>
      <c r="AF97" s="1309" t="str">
        <f t="shared" ref="Z97:AI100" si="14">IFERROR(INDEX($T$4:$W$601,MATCH($X97&amp;AF$3,INDEX($T$4:$T$601&amp;$V$4:$V$601,),0),MATCH("施設名",$T$3:$W$3,0)),"")</f>
        <v/>
      </c>
      <c r="AG97" s="1309" t="str">
        <f t="shared" si="14"/>
        <v/>
      </c>
      <c r="AH97" s="1305" t="str">
        <f t="shared" si="14"/>
        <v/>
      </c>
      <c r="AI97" s="1305">
        <f t="shared" si="14"/>
        <v>0</v>
      </c>
      <c r="AJ97" s="1305"/>
      <c r="AK97" s="1305"/>
      <c r="AL97" s="1305"/>
      <c r="AM97" s="1305"/>
      <c r="AN97" s="1305"/>
      <c r="AO97" s="1305"/>
      <c r="AP97" s="1305"/>
      <c r="AQ97" s="1305"/>
      <c r="AR97" s="1305"/>
      <c r="AS97" s="1305"/>
      <c r="AT97" s="1305"/>
      <c r="AU97" s="1305"/>
      <c r="AV97" s="1305"/>
      <c r="AW97" s="1305"/>
      <c r="AX97" s="1305"/>
      <c r="AY97" s="1305"/>
      <c r="AZ97" s="1305"/>
      <c r="BA97" s="1305"/>
      <c r="BB97" s="1305"/>
      <c r="BC97" s="1305"/>
      <c r="BD97" s="1305"/>
      <c r="BE97" s="1305"/>
      <c r="BF97" s="1305"/>
      <c r="BG97" s="1305"/>
      <c r="BH97" s="1305"/>
      <c r="BI97" s="1305"/>
      <c r="BJ97" s="1305"/>
      <c r="BK97" s="1305"/>
      <c r="BL97" s="1305"/>
      <c r="BM97" s="1305"/>
      <c r="BN97" s="1305"/>
      <c r="BO97" s="1305"/>
      <c r="BP97" s="1305"/>
      <c r="BQ97" s="1305"/>
      <c r="BR97" s="1305"/>
      <c r="BS97" s="1305"/>
      <c r="BT97" s="1305"/>
      <c r="BU97" s="1305"/>
      <c r="BV97" s="1305"/>
      <c r="BW97" s="1305"/>
      <c r="BX97" s="1305"/>
      <c r="BY97" s="1305"/>
      <c r="BZ97" s="1305"/>
      <c r="CA97" s="1305"/>
      <c r="CB97" s="1305"/>
      <c r="CC97" s="1305"/>
      <c r="CD97" s="1305"/>
      <c r="CE97" s="1305"/>
      <c r="CF97" s="1305"/>
      <c r="CG97" s="1305"/>
      <c r="CH97" s="1305"/>
      <c r="CI97" s="1305"/>
      <c r="CJ97" s="1305"/>
      <c r="CK97" s="1305"/>
      <c r="CL97" s="1305"/>
      <c r="CM97" s="1305"/>
      <c r="CN97" s="1305"/>
      <c r="CO97" s="1305"/>
      <c r="CP97" s="1305"/>
      <c r="CQ97" s="1305"/>
      <c r="CR97" s="1305"/>
      <c r="CS97" s="1305"/>
      <c r="CT97" s="1305"/>
      <c r="CU97" s="1305"/>
      <c r="CV97" s="1305"/>
      <c r="CW97" s="1305"/>
      <c r="CX97" s="1305"/>
      <c r="CY97" s="1305"/>
      <c r="CZ97" s="1305"/>
      <c r="DA97" s="1308"/>
    </row>
    <row r="98" spans="1:105" ht="11.25" customHeight="1" outlineLevel="1">
      <c r="A98" s="16">
        <v>300018</v>
      </c>
      <c r="B98" s="20" t="s">
        <v>199</v>
      </c>
      <c r="C98" s="20" t="s">
        <v>531</v>
      </c>
      <c r="D98" s="20" t="s">
        <v>1067</v>
      </c>
      <c r="E98" s="20" t="s">
        <v>209</v>
      </c>
      <c r="F98" s="21" t="s">
        <v>1097</v>
      </c>
      <c r="G98" s="21">
        <v>15</v>
      </c>
      <c r="H98" s="21">
        <v>45</v>
      </c>
      <c r="I98" s="21">
        <v>45</v>
      </c>
      <c r="J98" s="42">
        <v>105</v>
      </c>
      <c r="K98" s="21">
        <v>15</v>
      </c>
      <c r="L98" s="21">
        <v>45</v>
      </c>
      <c r="M98" s="21">
        <v>15</v>
      </c>
      <c r="N98" s="21">
        <v>30</v>
      </c>
      <c r="O98" s="21">
        <v>45</v>
      </c>
      <c r="P98" s="21">
        <v>0</v>
      </c>
      <c r="Q98" s="21"/>
      <c r="R98" s="20">
        <f t="shared" si="9"/>
        <v>105</v>
      </c>
      <c r="S98" s="22">
        <f t="shared" si="10"/>
        <v>300018</v>
      </c>
      <c r="T98" s="22">
        <f>COUNTIF($V$4:V98,V98)</f>
        <v>18</v>
      </c>
      <c r="U98" s="22" t="str">
        <f>IF(T98=1,COUNTIF($T$4:T98,1),"")</f>
        <v/>
      </c>
      <c r="V98" s="23" t="str">
        <f t="shared" si="11"/>
        <v>東区03認定こども園</v>
      </c>
      <c r="W98" s="23" t="str">
        <f t="shared" si="12"/>
        <v>認定こども園東苗穂保育園</v>
      </c>
      <c r="X98" s="24">
        <v>94</v>
      </c>
      <c r="Y98" s="30" t="str">
        <f t="shared" si="7"/>
        <v/>
      </c>
      <c r="Z98" s="1304" t="str">
        <f t="shared" si="14"/>
        <v/>
      </c>
      <c r="AA98" s="1304" t="str">
        <f t="shared" si="14"/>
        <v/>
      </c>
      <c r="AB98" s="1309" t="str">
        <f t="shared" si="14"/>
        <v/>
      </c>
      <c r="AC98" s="1309" t="str">
        <f t="shared" si="14"/>
        <v/>
      </c>
      <c r="AD98" s="1309" t="str">
        <f t="shared" si="14"/>
        <v/>
      </c>
      <c r="AE98" s="1309" t="str">
        <f t="shared" si="14"/>
        <v/>
      </c>
      <c r="AF98" s="1309" t="str">
        <f t="shared" si="14"/>
        <v/>
      </c>
      <c r="AG98" s="1309" t="str">
        <f t="shared" si="14"/>
        <v/>
      </c>
      <c r="AH98" s="1305" t="str">
        <f t="shared" si="14"/>
        <v/>
      </c>
      <c r="AI98" s="1305">
        <f t="shared" si="14"/>
        <v>0</v>
      </c>
      <c r="AJ98" s="1305"/>
      <c r="AK98" s="1305"/>
      <c r="AL98" s="1305"/>
      <c r="AM98" s="1305"/>
      <c r="AN98" s="1305"/>
      <c r="AO98" s="1305"/>
      <c r="AP98" s="1305"/>
      <c r="AQ98" s="1305"/>
      <c r="AR98" s="1305"/>
      <c r="AS98" s="1305"/>
      <c r="AT98" s="1305"/>
      <c r="AU98" s="1305"/>
      <c r="AV98" s="1305"/>
      <c r="AW98" s="1305"/>
      <c r="AX98" s="1305"/>
      <c r="AY98" s="1305"/>
      <c r="AZ98" s="1305"/>
      <c r="BA98" s="1305"/>
      <c r="BB98" s="1305"/>
      <c r="BC98" s="1305"/>
      <c r="BD98" s="1305"/>
      <c r="BE98" s="1305"/>
      <c r="BF98" s="1305"/>
      <c r="BG98" s="1305"/>
      <c r="BH98" s="1305"/>
      <c r="BI98" s="1305"/>
      <c r="BJ98" s="1305"/>
      <c r="BK98" s="1305"/>
      <c r="BL98" s="1305"/>
      <c r="BM98" s="1305"/>
      <c r="BN98" s="1305"/>
      <c r="BO98" s="1305"/>
      <c r="BP98" s="1305"/>
      <c r="BQ98" s="1305"/>
      <c r="BR98" s="1305"/>
      <c r="BS98" s="1305"/>
      <c r="BT98" s="1305"/>
      <c r="BU98" s="1305"/>
      <c r="BV98" s="1305"/>
      <c r="BW98" s="1305"/>
      <c r="BX98" s="1305"/>
      <c r="BY98" s="1305"/>
      <c r="BZ98" s="1305"/>
      <c r="CA98" s="1305"/>
      <c r="CB98" s="1305"/>
      <c r="CC98" s="1305"/>
      <c r="CD98" s="1305"/>
      <c r="CE98" s="1305"/>
      <c r="CF98" s="1305"/>
      <c r="CG98" s="1305"/>
      <c r="CH98" s="1305"/>
      <c r="CI98" s="1305"/>
      <c r="CJ98" s="1305"/>
      <c r="CK98" s="1305"/>
      <c r="CL98" s="1305"/>
      <c r="CM98" s="1305"/>
      <c r="CN98" s="1305"/>
      <c r="CO98" s="1305"/>
      <c r="CP98" s="1305"/>
      <c r="CQ98" s="1305"/>
      <c r="CR98" s="1305"/>
      <c r="CS98" s="1305"/>
      <c r="CT98" s="1305"/>
      <c r="CU98" s="1305"/>
      <c r="CV98" s="1305"/>
      <c r="CW98" s="1305"/>
      <c r="CX98" s="1305"/>
      <c r="CY98" s="1305"/>
      <c r="CZ98" s="1305"/>
      <c r="DA98" s="1308"/>
    </row>
    <row r="99" spans="1:105" ht="11.25" customHeight="1" outlineLevel="1">
      <c r="A99" s="16">
        <v>300019</v>
      </c>
      <c r="B99" s="20" t="s">
        <v>199</v>
      </c>
      <c r="C99" s="20" t="s">
        <v>531</v>
      </c>
      <c r="D99" s="20" t="s">
        <v>1284</v>
      </c>
      <c r="E99" s="20" t="s">
        <v>209</v>
      </c>
      <c r="F99" s="21" t="s">
        <v>1654</v>
      </c>
      <c r="G99" s="21">
        <v>8</v>
      </c>
      <c r="H99" s="21">
        <v>82</v>
      </c>
      <c r="I99" s="21">
        <v>30</v>
      </c>
      <c r="J99" s="42">
        <v>120</v>
      </c>
      <c r="K99" s="21">
        <v>8</v>
      </c>
      <c r="L99" s="21">
        <v>50</v>
      </c>
      <c r="M99" s="21">
        <v>6</v>
      </c>
      <c r="N99" s="21">
        <v>24</v>
      </c>
      <c r="O99" s="21">
        <v>30</v>
      </c>
      <c r="P99" s="21">
        <v>0</v>
      </c>
      <c r="Q99" s="21"/>
      <c r="R99" s="20">
        <f t="shared" si="9"/>
        <v>88</v>
      </c>
      <c r="S99" s="22">
        <f t="shared" si="10"/>
        <v>300019</v>
      </c>
      <c r="T99" s="22">
        <f>COUNTIF($V$4:V99,V99)</f>
        <v>19</v>
      </c>
      <c r="U99" s="22" t="str">
        <f>IF(T99=1,COUNTIF($T$4:T99,1),"")</f>
        <v/>
      </c>
      <c r="V99" s="23" t="str">
        <f t="shared" si="11"/>
        <v>東区03認定こども園</v>
      </c>
      <c r="W99" s="23" t="str">
        <f t="shared" si="12"/>
        <v>明園保育園</v>
      </c>
      <c r="X99" s="24">
        <v>95</v>
      </c>
      <c r="Y99" s="30" t="str">
        <f t="shared" si="7"/>
        <v/>
      </c>
      <c r="Z99" s="1304" t="str">
        <f t="shared" si="14"/>
        <v/>
      </c>
      <c r="AA99" s="1304" t="str">
        <f t="shared" si="14"/>
        <v/>
      </c>
      <c r="AB99" s="1309" t="str">
        <f t="shared" si="14"/>
        <v/>
      </c>
      <c r="AC99" s="1309" t="str">
        <f t="shared" si="14"/>
        <v/>
      </c>
      <c r="AD99" s="1309" t="str">
        <f t="shared" si="14"/>
        <v/>
      </c>
      <c r="AE99" s="1309" t="str">
        <f t="shared" si="14"/>
        <v/>
      </c>
      <c r="AF99" s="1309" t="str">
        <f t="shared" si="14"/>
        <v/>
      </c>
      <c r="AG99" s="1309" t="str">
        <f t="shared" si="14"/>
        <v/>
      </c>
      <c r="AH99" s="1305" t="str">
        <f t="shared" si="14"/>
        <v/>
      </c>
      <c r="AI99" s="1305">
        <f t="shared" si="14"/>
        <v>0</v>
      </c>
      <c r="AJ99" s="1305"/>
      <c r="AK99" s="1305"/>
      <c r="AL99" s="1305"/>
      <c r="AM99" s="1305"/>
      <c r="AN99" s="1305"/>
      <c r="AO99" s="1305"/>
      <c r="AP99" s="1305"/>
      <c r="AQ99" s="1305"/>
      <c r="AR99" s="1305"/>
      <c r="AS99" s="1305"/>
      <c r="AT99" s="1305"/>
      <c r="AU99" s="1305"/>
      <c r="AV99" s="1305"/>
      <c r="AW99" s="1305"/>
      <c r="AX99" s="1305"/>
      <c r="AY99" s="1305"/>
      <c r="AZ99" s="1305"/>
      <c r="BA99" s="1305"/>
      <c r="BB99" s="1305"/>
      <c r="BC99" s="1305"/>
      <c r="BD99" s="1305"/>
      <c r="BE99" s="1305"/>
      <c r="BF99" s="1305"/>
      <c r="BG99" s="1305"/>
      <c r="BH99" s="1305"/>
      <c r="BI99" s="1305"/>
      <c r="BJ99" s="1305"/>
      <c r="BK99" s="1305"/>
      <c r="BL99" s="1305"/>
      <c r="BM99" s="1305"/>
      <c r="BN99" s="1305"/>
      <c r="BO99" s="1305"/>
      <c r="BP99" s="1305"/>
      <c r="BQ99" s="1305"/>
      <c r="BR99" s="1305"/>
      <c r="BS99" s="1305"/>
      <c r="BT99" s="1305"/>
      <c r="BU99" s="1305"/>
      <c r="BV99" s="1305"/>
      <c r="BW99" s="1305"/>
      <c r="BX99" s="1305"/>
      <c r="BY99" s="1305"/>
      <c r="BZ99" s="1305"/>
      <c r="CA99" s="1305"/>
      <c r="CB99" s="1305"/>
      <c r="CC99" s="1305"/>
      <c r="CD99" s="1305"/>
      <c r="CE99" s="1305"/>
      <c r="CF99" s="1305"/>
      <c r="CG99" s="1305"/>
      <c r="CH99" s="1305"/>
      <c r="CI99" s="1305"/>
      <c r="CJ99" s="1305"/>
      <c r="CK99" s="1305"/>
      <c r="CL99" s="1305"/>
      <c r="CM99" s="1305"/>
      <c r="CN99" s="1305"/>
      <c r="CO99" s="1305"/>
      <c r="CP99" s="1305"/>
      <c r="CQ99" s="1305"/>
      <c r="CR99" s="1305"/>
      <c r="CS99" s="1305"/>
      <c r="CT99" s="1305"/>
      <c r="CU99" s="1305"/>
      <c r="CV99" s="1305"/>
      <c r="CW99" s="1305"/>
      <c r="CX99" s="1305"/>
      <c r="CY99" s="1305"/>
      <c r="CZ99" s="1305"/>
      <c r="DA99" s="1308"/>
    </row>
    <row r="100" spans="1:105" ht="11.25" customHeight="1" outlineLevel="1">
      <c r="A100" s="16">
        <v>300020</v>
      </c>
      <c r="B100" s="20" t="s">
        <v>199</v>
      </c>
      <c r="C100" s="20" t="s">
        <v>531</v>
      </c>
      <c r="D100" s="20" t="s">
        <v>1067</v>
      </c>
      <c r="E100" s="20" t="s">
        <v>209</v>
      </c>
      <c r="F100" s="21" t="s">
        <v>1303</v>
      </c>
      <c r="G100" s="21">
        <v>15</v>
      </c>
      <c r="H100" s="21">
        <v>72</v>
      </c>
      <c r="I100" s="21">
        <v>48</v>
      </c>
      <c r="J100" s="42">
        <v>135</v>
      </c>
      <c r="K100" s="21">
        <v>15</v>
      </c>
      <c r="L100" s="21">
        <v>48</v>
      </c>
      <c r="M100" s="21">
        <v>10</v>
      </c>
      <c r="N100" s="21">
        <v>32</v>
      </c>
      <c r="O100" s="21">
        <v>42</v>
      </c>
      <c r="P100" s="21">
        <v>0</v>
      </c>
      <c r="Q100" s="21"/>
      <c r="R100" s="20">
        <f t="shared" si="9"/>
        <v>105</v>
      </c>
      <c r="S100" s="22">
        <f t="shared" si="10"/>
        <v>300020</v>
      </c>
      <c r="T100" s="22">
        <f>COUNTIF($V$4:V100,V100)</f>
        <v>20</v>
      </c>
      <c r="U100" s="22" t="str">
        <f>IF(T100=1,COUNTIF($T$4:T100,1),"")</f>
        <v/>
      </c>
      <c r="V100" s="23" t="str">
        <f t="shared" si="11"/>
        <v>東区03認定こども園</v>
      </c>
      <c r="W100" s="23" t="str">
        <f t="shared" si="12"/>
        <v>日の丸保育園</v>
      </c>
      <c r="X100" s="24">
        <v>96</v>
      </c>
      <c r="Y100" s="33" t="str">
        <f t="shared" si="7"/>
        <v/>
      </c>
      <c r="Z100" s="34" t="str">
        <f t="shared" si="14"/>
        <v/>
      </c>
      <c r="AA100" s="34" t="str">
        <f t="shared" si="14"/>
        <v/>
      </c>
      <c r="AB100" s="1310" t="str">
        <f t="shared" si="14"/>
        <v/>
      </c>
      <c r="AC100" s="1310" t="str">
        <f t="shared" si="14"/>
        <v/>
      </c>
      <c r="AD100" s="1310" t="str">
        <f t="shared" si="14"/>
        <v/>
      </c>
      <c r="AE100" s="1310" t="str">
        <f t="shared" si="14"/>
        <v/>
      </c>
      <c r="AF100" s="1310" t="str">
        <f t="shared" si="14"/>
        <v/>
      </c>
      <c r="AG100" s="1310" t="str">
        <f t="shared" si="14"/>
        <v/>
      </c>
      <c r="AH100" s="35" t="str">
        <f t="shared" si="14"/>
        <v/>
      </c>
      <c r="AI100" s="35">
        <f t="shared" si="14"/>
        <v>0</v>
      </c>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1311"/>
    </row>
    <row r="101" spans="1:105" ht="11.25" customHeight="1" outlineLevel="1">
      <c r="A101" s="16">
        <v>300021</v>
      </c>
      <c r="B101" s="20" t="s">
        <v>199</v>
      </c>
      <c r="C101" s="20" t="s">
        <v>531</v>
      </c>
      <c r="D101" s="20" t="s">
        <v>1284</v>
      </c>
      <c r="E101" s="20" t="s">
        <v>209</v>
      </c>
      <c r="F101" s="21" t="s">
        <v>1655</v>
      </c>
      <c r="G101" s="21">
        <v>11</v>
      </c>
      <c r="H101" s="21">
        <v>69</v>
      </c>
      <c r="I101" s="21">
        <v>41</v>
      </c>
      <c r="J101" s="42">
        <v>121</v>
      </c>
      <c r="K101" s="21">
        <v>11</v>
      </c>
      <c r="L101" s="21">
        <v>69</v>
      </c>
      <c r="M101" s="21">
        <v>8</v>
      </c>
      <c r="N101" s="21">
        <v>33</v>
      </c>
      <c r="O101" s="21">
        <v>41</v>
      </c>
      <c r="P101" s="21">
        <v>0</v>
      </c>
      <c r="Q101" s="21"/>
      <c r="R101" s="20">
        <f t="shared" si="9"/>
        <v>121</v>
      </c>
      <c r="S101" s="22">
        <f t="shared" si="10"/>
        <v>300021</v>
      </c>
      <c r="T101" s="22">
        <f>COUNTIF($V$4:V101,V101)</f>
        <v>21</v>
      </c>
      <c r="U101" s="22" t="str">
        <f>IF(T101=1,COUNTIF($T$4:T101,1),"")</f>
        <v/>
      </c>
      <c r="V101" s="23" t="str">
        <f t="shared" si="11"/>
        <v>東区03認定こども園</v>
      </c>
      <c r="W101" s="23" t="str">
        <f t="shared" si="12"/>
        <v>認定こども園はらっぱ保育園</v>
      </c>
      <c r="X101" s="24">
        <v>97</v>
      </c>
      <c r="Y101" s="23"/>
      <c r="Z101" s="23"/>
      <c r="AA101" s="23"/>
    </row>
    <row r="102" spans="1:105" ht="11.25" customHeight="1" outlineLevel="1">
      <c r="A102" s="16">
        <v>300022</v>
      </c>
      <c r="B102" s="20" t="s">
        <v>199</v>
      </c>
      <c r="C102" s="20" t="s">
        <v>531</v>
      </c>
      <c r="D102" s="20" t="s">
        <v>1067</v>
      </c>
      <c r="E102" s="20" t="s">
        <v>209</v>
      </c>
      <c r="F102" s="21" t="s">
        <v>1431</v>
      </c>
      <c r="G102" s="21">
        <v>9</v>
      </c>
      <c r="H102" s="21">
        <v>61</v>
      </c>
      <c r="I102" s="21">
        <v>40</v>
      </c>
      <c r="J102" s="42">
        <v>110</v>
      </c>
      <c r="K102" s="21">
        <v>9</v>
      </c>
      <c r="L102" s="21">
        <v>60</v>
      </c>
      <c r="M102" s="21">
        <v>10</v>
      </c>
      <c r="N102" s="21">
        <v>30</v>
      </c>
      <c r="O102" s="21">
        <v>40</v>
      </c>
      <c r="P102" s="21">
        <v>0</v>
      </c>
      <c r="Q102" s="21"/>
      <c r="R102" s="20">
        <f t="shared" si="9"/>
        <v>109</v>
      </c>
      <c r="S102" s="22">
        <f t="shared" si="10"/>
        <v>300022</v>
      </c>
      <c r="T102" s="22">
        <f>COUNTIF($V$4:V102,V102)</f>
        <v>22</v>
      </c>
      <c r="U102" s="22" t="str">
        <f>IF(T102=1,COUNTIF($T$4:T102,1),"")</f>
        <v/>
      </c>
      <c r="V102" s="23" t="str">
        <f t="shared" si="11"/>
        <v>東区03認定こども園</v>
      </c>
      <c r="W102" s="23" t="str">
        <f t="shared" si="12"/>
        <v>保育所型認定こども園丘珠ひばり保育園</v>
      </c>
      <c r="X102" s="24">
        <v>98</v>
      </c>
      <c r="Y102" s="23"/>
      <c r="Z102" s="23"/>
      <c r="AA102" s="23"/>
    </row>
    <row r="103" spans="1:105" ht="11.25" customHeight="1" outlineLevel="1">
      <c r="A103" s="16">
        <v>300023</v>
      </c>
      <c r="B103" s="20" t="s">
        <v>199</v>
      </c>
      <c r="C103" s="20" t="s">
        <v>531</v>
      </c>
      <c r="D103" s="20" t="s">
        <v>1284</v>
      </c>
      <c r="E103" s="20" t="s">
        <v>209</v>
      </c>
      <c r="F103" s="21" t="s">
        <v>1555</v>
      </c>
      <c r="G103" s="21">
        <v>5</v>
      </c>
      <c r="H103" s="21">
        <v>32</v>
      </c>
      <c r="I103" s="21">
        <v>23</v>
      </c>
      <c r="J103" s="42">
        <v>60</v>
      </c>
      <c r="K103" s="21">
        <v>5</v>
      </c>
      <c r="L103" s="21">
        <v>27</v>
      </c>
      <c r="M103" s="21">
        <v>5</v>
      </c>
      <c r="N103" s="21">
        <v>18</v>
      </c>
      <c r="O103" s="21">
        <v>23</v>
      </c>
      <c r="P103" s="21">
        <v>0</v>
      </c>
      <c r="Q103" s="21"/>
      <c r="R103" s="20">
        <f t="shared" si="9"/>
        <v>55</v>
      </c>
      <c r="S103" s="22">
        <f t="shared" si="10"/>
        <v>300023</v>
      </c>
      <c r="T103" s="22">
        <f>COUNTIF($V$4:V103,V103)</f>
        <v>23</v>
      </c>
      <c r="U103" s="22" t="str">
        <f>IF(T103=1,COUNTIF($T$4:T103,1),"")</f>
        <v/>
      </c>
      <c r="V103" s="23" t="str">
        <f t="shared" si="11"/>
        <v>東区03認定こども園</v>
      </c>
      <c r="W103" s="23" t="str">
        <f t="shared" si="12"/>
        <v>認定こども園こころのさと保育園</v>
      </c>
      <c r="X103" s="24">
        <v>99</v>
      </c>
      <c r="Y103" s="23"/>
      <c r="Z103" s="23"/>
    </row>
    <row r="104" spans="1:105" outlineLevel="1">
      <c r="A104" s="16">
        <v>300024</v>
      </c>
      <c r="B104" s="20" t="s">
        <v>199</v>
      </c>
      <c r="C104" s="20" t="s">
        <v>531</v>
      </c>
      <c r="D104" s="20" t="s">
        <v>1284</v>
      </c>
      <c r="E104" s="20" t="s">
        <v>209</v>
      </c>
      <c r="F104" s="21" t="s">
        <v>1656</v>
      </c>
      <c r="G104" s="21">
        <v>6</v>
      </c>
      <c r="H104" s="21">
        <v>30</v>
      </c>
      <c r="I104" s="21">
        <v>30</v>
      </c>
      <c r="J104" s="42">
        <v>66</v>
      </c>
      <c r="K104" s="21">
        <v>6</v>
      </c>
      <c r="L104" s="21">
        <v>30</v>
      </c>
      <c r="M104" s="21">
        <v>10</v>
      </c>
      <c r="N104" s="21">
        <v>20</v>
      </c>
      <c r="O104" s="21">
        <v>30</v>
      </c>
      <c r="P104" s="21">
        <v>0</v>
      </c>
      <c r="Q104" s="21"/>
      <c r="R104" s="20">
        <f t="shared" si="9"/>
        <v>66</v>
      </c>
      <c r="S104" s="22">
        <f t="shared" si="10"/>
        <v>300024</v>
      </c>
      <c r="T104" s="22">
        <f>COUNTIF($V$4:V104,V104)</f>
        <v>24</v>
      </c>
      <c r="U104" s="22" t="str">
        <f>IF(T104=1,COUNTIF($T$4:T104,1),"")</f>
        <v/>
      </c>
      <c r="V104" s="23" t="str">
        <f t="shared" si="11"/>
        <v>東区03認定こども園</v>
      </c>
      <c r="W104" s="23" t="str">
        <f t="shared" si="12"/>
        <v>認定こども園元町保育園</v>
      </c>
      <c r="X104" s="24">
        <v>100</v>
      </c>
      <c r="Y104" s="23"/>
      <c r="Z104" s="23"/>
    </row>
    <row r="105" spans="1:105" outlineLevel="1">
      <c r="A105" s="16">
        <v>300025</v>
      </c>
      <c r="B105" s="20" t="s">
        <v>199</v>
      </c>
      <c r="C105" s="20" t="s">
        <v>531</v>
      </c>
      <c r="D105" s="20" t="s">
        <v>1067</v>
      </c>
      <c r="E105" s="20" t="s">
        <v>209</v>
      </c>
      <c r="F105" s="21" t="s">
        <v>1432</v>
      </c>
      <c r="G105" s="21">
        <v>15</v>
      </c>
      <c r="H105" s="21">
        <v>88</v>
      </c>
      <c r="I105" s="21">
        <v>72</v>
      </c>
      <c r="J105" s="42">
        <v>175</v>
      </c>
      <c r="K105" s="21">
        <v>15</v>
      </c>
      <c r="L105" s="21">
        <v>88</v>
      </c>
      <c r="M105" s="21">
        <v>20</v>
      </c>
      <c r="N105" s="21">
        <v>52</v>
      </c>
      <c r="O105" s="21">
        <v>72</v>
      </c>
      <c r="P105" s="21">
        <v>0</v>
      </c>
      <c r="Q105" s="21"/>
      <c r="R105" s="20">
        <f t="shared" si="9"/>
        <v>175</v>
      </c>
      <c r="S105" s="22">
        <f t="shared" si="10"/>
        <v>300025</v>
      </c>
      <c r="T105" s="22">
        <f>COUNTIF($V$4:V105,V105)</f>
        <v>25</v>
      </c>
      <c r="U105" s="22" t="str">
        <f>IF(T105=1,COUNTIF($T$4:T105,1),"")</f>
        <v/>
      </c>
      <c r="V105" s="23" t="str">
        <f t="shared" si="11"/>
        <v>東区03認定こども園</v>
      </c>
      <c r="W105" s="23" t="str">
        <f t="shared" si="12"/>
        <v>北栄みどり保育園</v>
      </c>
      <c r="X105" s="24">
        <v>101</v>
      </c>
      <c r="Y105" s="23"/>
      <c r="Z105" s="23"/>
    </row>
    <row r="106" spans="1:105" outlineLevel="1">
      <c r="A106" s="16">
        <v>300026</v>
      </c>
      <c r="B106" s="20" t="s">
        <v>199</v>
      </c>
      <c r="C106" s="20" t="s">
        <v>531</v>
      </c>
      <c r="D106" s="20" t="s">
        <v>1067</v>
      </c>
      <c r="E106" s="20" t="s">
        <v>209</v>
      </c>
      <c r="F106" s="21" t="s">
        <v>1098</v>
      </c>
      <c r="G106" s="21">
        <v>15</v>
      </c>
      <c r="H106" s="21">
        <v>48</v>
      </c>
      <c r="I106" s="21">
        <v>42</v>
      </c>
      <c r="J106" s="42">
        <v>105</v>
      </c>
      <c r="K106" s="21">
        <v>15</v>
      </c>
      <c r="L106" s="21">
        <v>38</v>
      </c>
      <c r="M106" s="21">
        <v>8</v>
      </c>
      <c r="N106" s="21">
        <v>24</v>
      </c>
      <c r="O106" s="21">
        <v>32</v>
      </c>
      <c r="P106" s="21">
        <v>0</v>
      </c>
      <c r="Q106" s="21"/>
      <c r="R106" s="20">
        <f t="shared" si="9"/>
        <v>85</v>
      </c>
      <c r="S106" s="22">
        <f t="shared" si="10"/>
        <v>300026</v>
      </c>
      <c r="T106" s="22">
        <f>COUNTIF($V$4:V106,V106)</f>
        <v>26</v>
      </c>
      <c r="U106" s="22" t="str">
        <f>IF(T106=1,COUNTIF($T$4:T106,1),"")</f>
        <v/>
      </c>
      <c r="V106" s="23" t="str">
        <f t="shared" si="11"/>
        <v>東区03認定こども園</v>
      </c>
      <c r="W106" s="23" t="str">
        <f t="shared" si="12"/>
        <v>丘珠マスカット保育園</v>
      </c>
      <c r="X106" s="24">
        <v>102</v>
      </c>
      <c r="Y106" s="23"/>
      <c r="Z106" s="23"/>
    </row>
    <row r="107" spans="1:105" outlineLevel="1">
      <c r="A107" s="16">
        <v>300028</v>
      </c>
      <c r="B107" s="20" t="s">
        <v>199</v>
      </c>
      <c r="C107" s="20" t="s">
        <v>531</v>
      </c>
      <c r="D107" s="20" t="s">
        <v>1067</v>
      </c>
      <c r="E107" s="20" t="s">
        <v>209</v>
      </c>
      <c r="F107" s="21" t="s">
        <v>1433</v>
      </c>
      <c r="G107" s="21">
        <v>15</v>
      </c>
      <c r="H107" s="21">
        <v>102</v>
      </c>
      <c r="I107" s="21">
        <v>88</v>
      </c>
      <c r="J107" s="42">
        <v>205</v>
      </c>
      <c r="K107" s="21">
        <v>15</v>
      </c>
      <c r="L107" s="21">
        <v>84</v>
      </c>
      <c r="M107" s="21">
        <v>20</v>
      </c>
      <c r="N107" s="21">
        <v>56</v>
      </c>
      <c r="O107" s="21">
        <v>76</v>
      </c>
      <c r="P107" s="21">
        <v>0</v>
      </c>
      <c r="Q107" s="21"/>
      <c r="R107" s="20">
        <f t="shared" si="9"/>
        <v>175</v>
      </c>
      <c r="S107" s="22">
        <f t="shared" si="10"/>
        <v>300028</v>
      </c>
      <c r="T107" s="22">
        <f>COUNTIF($V$4:V107,V107)</f>
        <v>27</v>
      </c>
      <c r="U107" s="22" t="str">
        <f>IF(T107=1,COUNTIF($T$4:T107,1),"")</f>
        <v/>
      </c>
      <c r="V107" s="23" t="str">
        <f t="shared" si="11"/>
        <v>東区03認定こども園</v>
      </c>
      <c r="W107" s="23" t="str">
        <f t="shared" si="12"/>
        <v>元町みどり保育園</v>
      </c>
      <c r="X107" s="24">
        <v>103</v>
      </c>
      <c r="Y107" s="23"/>
      <c r="Z107" s="23"/>
    </row>
    <row r="108" spans="1:105" ht="11.25" customHeight="1" outlineLevel="1">
      <c r="A108" s="16">
        <v>300029</v>
      </c>
      <c r="B108" s="20" t="s">
        <v>199</v>
      </c>
      <c r="C108" s="20" t="s">
        <v>531</v>
      </c>
      <c r="D108" s="20" t="s">
        <v>1067</v>
      </c>
      <c r="E108" s="20" t="s">
        <v>209</v>
      </c>
      <c r="F108" s="21" t="s">
        <v>1434</v>
      </c>
      <c r="G108" s="21">
        <v>15</v>
      </c>
      <c r="H108" s="21">
        <v>76</v>
      </c>
      <c r="I108" s="21">
        <v>54</v>
      </c>
      <c r="J108" s="42">
        <v>145</v>
      </c>
      <c r="K108" s="21">
        <v>15</v>
      </c>
      <c r="L108" s="21">
        <v>60</v>
      </c>
      <c r="M108" s="21">
        <v>12</v>
      </c>
      <c r="N108" s="21">
        <v>38</v>
      </c>
      <c r="O108" s="21">
        <v>50</v>
      </c>
      <c r="P108" s="21">
        <v>0</v>
      </c>
      <c r="Q108" s="21"/>
      <c r="R108" s="20">
        <f t="shared" si="9"/>
        <v>125</v>
      </c>
      <c r="S108" s="22">
        <f t="shared" si="10"/>
        <v>300029</v>
      </c>
      <c r="T108" s="22">
        <f>COUNTIF($V$4:V108,V108)</f>
        <v>28</v>
      </c>
      <c r="U108" s="22" t="str">
        <f>IF(T108=1,COUNTIF($T$4:T108,1),"")</f>
        <v/>
      </c>
      <c r="V108" s="23" t="str">
        <f t="shared" si="11"/>
        <v>東区03認定こども園</v>
      </c>
      <c r="W108" s="23" t="str">
        <f t="shared" si="12"/>
        <v>認定こども園栄保育園</v>
      </c>
      <c r="X108" s="24">
        <v>104</v>
      </c>
      <c r="Y108" s="23"/>
      <c r="Z108" s="23"/>
    </row>
    <row r="109" spans="1:105" ht="11.25" customHeight="1" outlineLevel="1">
      <c r="A109" s="16">
        <v>300030</v>
      </c>
      <c r="B109" s="20" t="s">
        <v>199</v>
      </c>
      <c r="C109" s="20" t="s">
        <v>531</v>
      </c>
      <c r="D109" s="20" t="s">
        <v>1067</v>
      </c>
      <c r="E109" s="20" t="s">
        <v>209</v>
      </c>
      <c r="F109" s="21" t="s">
        <v>1435</v>
      </c>
      <c r="G109" s="21">
        <v>15</v>
      </c>
      <c r="H109" s="21">
        <v>70</v>
      </c>
      <c r="I109" s="21">
        <v>60</v>
      </c>
      <c r="J109" s="42">
        <v>145</v>
      </c>
      <c r="K109" s="21">
        <v>15</v>
      </c>
      <c r="L109" s="21">
        <v>70</v>
      </c>
      <c r="M109" s="21">
        <v>15</v>
      </c>
      <c r="N109" s="21">
        <v>45</v>
      </c>
      <c r="O109" s="21">
        <v>60</v>
      </c>
      <c r="P109" s="21">
        <v>0</v>
      </c>
      <c r="Q109" s="21"/>
      <c r="R109" s="20">
        <f t="shared" si="9"/>
        <v>145</v>
      </c>
      <c r="S109" s="22">
        <f t="shared" si="10"/>
        <v>300030</v>
      </c>
      <c r="T109" s="22">
        <f>COUNTIF($V$4:V109,V109)</f>
        <v>29</v>
      </c>
      <c r="U109" s="22" t="str">
        <f>IF(T109=1,COUNTIF($T$4:T109,1),"")</f>
        <v/>
      </c>
      <c r="V109" s="23" t="str">
        <f t="shared" si="11"/>
        <v>東区03認定こども園</v>
      </c>
      <c r="W109" s="23" t="str">
        <f t="shared" si="12"/>
        <v>札幌フラワー保育園</v>
      </c>
      <c r="X109" s="24">
        <v>105</v>
      </c>
      <c r="Y109" s="23"/>
      <c r="Z109" s="23"/>
    </row>
    <row r="110" spans="1:105" ht="11.25" customHeight="1" outlineLevel="1">
      <c r="A110" s="16">
        <v>300031</v>
      </c>
      <c r="B110" s="20" t="s">
        <v>199</v>
      </c>
      <c r="C110" s="20" t="s">
        <v>531</v>
      </c>
      <c r="D110" s="20" t="s">
        <v>1067</v>
      </c>
      <c r="E110" s="1144" t="s">
        <v>209</v>
      </c>
      <c r="F110" s="1145" t="s">
        <v>1099</v>
      </c>
      <c r="G110" s="21">
        <v>15</v>
      </c>
      <c r="H110" s="21">
        <v>48</v>
      </c>
      <c r="I110" s="21">
        <v>42</v>
      </c>
      <c r="J110" s="42">
        <v>105</v>
      </c>
      <c r="K110" s="21">
        <v>15</v>
      </c>
      <c r="L110" s="21">
        <v>48</v>
      </c>
      <c r="M110" s="21">
        <v>10</v>
      </c>
      <c r="N110" s="21">
        <v>32</v>
      </c>
      <c r="O110" s="21">
        <v>42</v>
      </c>
      <c r="P110" s="21">
        <v>0</v>
      </c>
      <c r="Q110" s="21"/>
      <c r="R110" s="20">
        <f t="shared" si="9"/>
        <v>105</v>
      </c>
      <c r="S110" s="22">
        <f t="shared" ref="S110" si="15">A110</f>
        <v>300031</v>
      </c>
      <c r="T110" s="22">
        <f>COUNTIF($V$4:V110,V110)</f>
        <v>30</v>
      </c>
      <c r="U110" s="22" t="str">
        <f>IF(T110=1,COUNTIF($T$4:T110,1),"")</f>
        <v/>
      </c>
      <c r="V110" s="23" t="str">
        <f t="shared" si="11"/>
        <v>東区03認定こども園</v>
      </c>
      <c r="W110" s="23" t="str">
        <f t="shared" si="12"/>
        <v>伏古かしわ保育園</v>
      </c>
      <c r="X110" s="24">
        <v>106</v>
      </c>
      <c r="Y110" s="23"/>
      <c r="Z110" s="23"/>
    </row>
    <row r="111" spans="1:105" ht="11.25" customHeight="1" outlineLevel="1">
      <c r="A111" s="16">
        <v>300033</v>
      </c>
      <c r="B111" s="20" t="s">
        <v>199</v>
      </c>
      <c r="C111" s="20" t="s">
        <v>531</v>
      </c>
      <c r="D111" s="20" t="s">
        <v>1067</v>
      </c>
      <c r="E111" s="20" t="s">
        <v>209</v>
      </c>
      <c r="F111" s="21" t="s">
        <v>1100</v>
      </c>
      <c r="G111" s="21">
        <v>15</v>
      </c>
      <c r="H111" s="21">
        <v>48</v>
      </c>
      <c r="I111" s="21">
        <v>42</v>
      </c>
      <c r="J111" s="42">
        <v>105</v>
      </c>
      <c r="K111" s="21">
        <v>15</v>
      </c>
      <c r="L111" s="21">
        <v>42</v>
      </c>
      <c r="M111" s="21">
        <v>10</v>
      </c>
      <c r="N111" s="21">
        <v>28</v>
      </c>
      <c r="O111" s="21">
        <v>38</v>
      </c>
      <c r="P111" s="21">
        <v>0</v>
      </c>
      <c r="Q111" s="21"/>
      <c r="R111" s="20">
        <f t="shared" si="9"/>
        <v>95</v>
      </c>
      <c r="S111" s="22">
        <f t="shared" si="10"/>
        <v>300033</v>
      </c>
      <c r="T111" s="22">
        <f>COUNTIF($V$4:V111,V111)</f>
        <v>31</v>
      </c>
      <c r="U111" s="22" t="str">
        <f>IF(T111=1,COUNTIF($T$4:T111,1),"")</f>
        <v/>
      </c>
      <c r="V111" s="23" t="str">
        <f t="shared" si="11"/>
        <v>東区03認定こども園</v>
      </c>
      <c r="W111" s="23" t="str">
        <f t="shared" si="12"/>
        <v>北栄マスカット保育園</v>
      </c>
      <c r="X111" s="24">
        <v>107</v>
      </c>
      <c r="Y111" s="23"/>
      <c r="Z111" s="23"/>
    </row>
    <row r="112" spans="1:105" ht="11.25" customHeight="1" outlineLevel="1">
      <c r="A112" s="16">
        <v>300034</v>
      </c>
      <c r="B112" s="20" t="s">
        <v>199</v>
      </c>
      <c r="C112" s="20" t="s">
        <v>531</v>
      </c>
      <c r="D112" s="20" t="s">
        <v>1067</v>
      </c>
      <c r="E112" s="20" t="s">
        <v>209</v>
      </c>
      <c r="F112" s="21" t="s">
        <v>1101</v>
      </c>
      <c r="G112" s="21">
        <v>15</v>
      </c>
      <c r="H112" s="21">
        <v>33</v>
      </c>
      <c r="I112" s="21">
        <v>27</v>
      </c>
      <c r="J112" s="42">
        <v>75</v>
      </c>
      <c r="K112" s="21">
        <v>15</v>
      </c>
      <c r="L112" s="21">
        <v>33</v>
      </c>
      <c r="M112" s="21">
        <v>6</v>
      </c>
      <c r="N112" s="21">
        <v>21</v>
      </c>
      <c r="O112" s="21">
        <v>27</v>
      </c>
      <c r="P112" s="21">
        <v>0</v>
      </c>
      <c r="Q112" s="21"/>
      <c r="R112" s="20">
        <f t="shared" si="9"/>
        <v>75</v>
      </c>
      <c r="S112" s="22">
        <f t="shared" si="10"/>
        <v>300034</v>
      </c>
      <c r="T112" s="22">
        <f>COUNTIF($V$4:V112,V112)</f>
        <v>32</v>
      </c>
      <c r="U112" s="22" t="str">
        <f>IF(T112=1,COUNTIF($T$4:T112,1),"")</f>
        <v/>
      </c>
      <c r="V112" s="23" t="str">
        <f t="shared" si="11"/>
        <v>東区03認定こども園</v>
      </c>
      <c r="W112" s="23" t="str">
        <f t="shared" si="12"/>
        <v>栄町マスカット保育園</v>
      </c>
      <c r="X112" s="24">
        <v>108</v>
      </c>
      <c r="Y112" s="23"/>
      <c r="Z112" s="23"/>
    </row>
    <row r="113" spans="1:26" ht="11.25" customHeight="1" outlineLevel="1">
      <c r="A113" s="16">
        <v>300037</v>
      </c>
      <c r="B113" s="20" t="s">
        <v>199</v>
      </c>
      <c r="C113" s="20" t="s">
        <v>531</v>
      </c>
      <c r="D113" s="20" t="s">
        <v>1067</v>
      </c>
      <c r="E113" s="20" t="s">
        <v>209</v>
      </c>
      <c r="F113" s="21" t="s">
        <v>1102</v>
      </c>
      <c r="G113" s="21">
        <v>10</v>
      </c>
      <c r="H113" s="21">
        <v>33</v>
      </c>
      <c r="I113" s="21">
        <v>27</v>
      </c>
      <c r="J113" s="42">
        <v>70</v>
      </c>
      <c r="K113" s="21">
        <v>10</v>
      </c>
      <c r="L113" s="21">
        <v>33</v>
      </c>
      <c r="M113" s="21">
        <v>8</v>
      </c>
      <c r="N113" s="21">
        <v>19</v>
      </c>
      <c r="O113" s="21">
        <v>27</v>
      </c>
      <c r="P113" s="21">
        <v>0</v>
      </c>
      <c r="Q113" s="21"/>
      <c r="R113" s="20">
        <f t="shared" si="9"/>
        <v>70</v>
      </c>
      <c r="S113" s="22">
        <f t="shared" si="10"/>
        <v>300037</v>
      </c>
      <c r="T113" s="22">
        <f>COUNTIF($V$4:V113,V113)</f>
        <v>33</v>
      </c>
      <c r="U113" s="22" t="str">
        <f>IF(T113=1,COUNTIF($T$4:T113,1),"")</f>
        <v/>
      </c>
      <c r="V113" s="23" t="str">
        <f t="shared" si="11"/>
        <v>東区03認定こども園</v>
      </c>
      <c r="W113" s="23" t="str">
        <f t="shared" si="12"/>
        <v>認定こども園本町保育園</v>
      </c>
      <c r="X113" s="24">
        <v>109</v>
      </c>
      <c r="Y113" s="23"/>
      <c r="Z113" s="23"/>
    </row>
    <row r="114" spans="1:26" ht="11.25" customHeight="1" outlineLevel="1">
      <c r="A114" s="16">
        <v>300038</v>
      </c>
      <c r="B114" s="20" t="s">
        <v>199</v>
      </c>
      <c r="C114" s="20" t="s">
        <v>531</v>
      </c>
      <c r="D114" s="20" t="s">
        <v>1284</v>
      </c>
      <c r="E114" s="20" t="s">
        <v>209</v>
      </c>
      <c r="F114" s="21" t="s">
        <v>1657</v>
      </c>
      <c r="G114" s="21">
        <v>11</v>
      </c>
      <c r="H114" s="21">
        <v>62</v>
      </c>
      <c r="I114" s="21">
        <v>48</v>
      </c>
      <c r="J114" s="42">
        <v>121</v>
      </c>
      <c r="K114" s="21">
        <v>11</v>
      </c>
      <c r="L114" s="21">
        <v>62</v>
      </c>
      <c r="M114" s="21">
        <v>12</v>
      </c>
      <c r="N114" s="21">
        <v>36</v>
      </c>
      <c r="O114" s="21">
        <v>48</v>
      </c>
      <c r="P114" s="21">
        <v>0</v>
      </c>
      <c r="Q114" s="21"/>
      <c r="R114" s="20">
        <f t="shared" si="9"/>
        <v>121</v>
      </c>
      <c r="S114" s="22">
        <f t="shared" si="10"/>
        <v>300038</v>
      </c>
      <c r="T114" s="22">
        <f>COUNTIF($V$4:V114,V114)</f>
        <v>34</v>
      </c>
      <c r="U114" s="22" t="str">
        <f>IF(T114=1,COUNTIF($T$4:T114,1),"")</f>
        <v/>
      </c>
      <c r="V114" s="23" t="str">
        <f t="shared" si="11"/>
        <v>東区03認定こども園</v>
      </c>
      <c r="W114" s="23" t="str">
        <f t="shared" si="12"/>
        <v>認定こども園愛和新穂保育園</v>
      </c>
      <c r="X114" s="24">
        <v>110</v>
      </c>
      <c r="Y114" s="23"/>
      <c r="Z114" s="23"/>
    </row>
    <row r="115" spans="1:26" ht="11.25" customHeight="1" outlineLevel="1">
      <c r="A115" s="16">
        <v>300039</v>
      </c>
      <c r="B115" s="20" t="s">
        <v>199</v>
      </c>
      <c r="C115" s="20" t="s">
        <v>531</v>
      </c>
      <c r="D115" s="20" t="s">
        <v>1067</v>
      </c>
      <c r="E115" s="20" t="s">
        <v>209</v>
      </c>
      <c r="F115" s="21" t="s">
        <v>1103</v>
      </c>
      <c r="G115" s="21">
        <v>5</v>
      </c>
      <c r="H115" s="21">
        <v>24</v>
      </c>
      <c r="I115" s="21">
        <v>21</v>
      </c>
      <c r="J115" s="42">
        <v>50</v>
      </c>
      <c r="K115" s="21">
        <v>5</v>
      </c>
      <c r="L115" s="21">
        <v>24</v>
      </c>
      <c r="M115" s="21">
        <v>5</v>
      </c>
      <c r="N115" s="21">
        <v>16</v>
      </c>
      <c r="O115" s="21">
        <v>21</v>
      </c>
      <c r="P115" s="21">
        <v>0</v>
      </c>
      <c r="Q115" s="21"/>
      <c r="R115" s="20">
        <f t="shared" si="9"/>
        <v>50</v>
      </c>
      <c r="S115" s="22">
        <f t="shared" si="10"/>
        <v>300039</v>
      </c>
      <c r="T115" s="22">
        <f>COUNTIF($V$4:V115,V115)</f>
        <v>35</v>
      </c>
      <c r="U115" s="22" t="str">
        <f>IF(T115=1,COUNTIF($T$4:T115,1),"")</f>
        <v/>
      </c>
      <c r="V115" s="23" t="str">
        <f t="shared" si="11"/>
        <v>東区03認定こども園</v>
      </c>
      <c r="W115" s="23" t="str">
        <f t="shared" si="12"/>
        <v>認定こども園中沼保育園</v>
      </c>
      <c r="X115" s="24">
        <v>111</v>
      </c>
      <c r="Y115" s="23"/>
      <c r="Z115" s="23"/>
    </row>
    <row r="116" spans="1:26" ht="11.25" customHeight="1" outlineLevel="1">
      <c r="A116" s="16">
        <v>300040</v>
      </c>
      <c r="B116" s="20" t="s">
        <v>199</v>
      </c>
      <c r="C116" s="20" t="s">
        <v>531</v>
      </c>
      <c r="D116" s="20" t="s">
        <v>1067</v>
      </c>
      <c r="E116" s="20" t="s">
        <v>209</v>
      </c>
      <c r="F116" s="21" t="s">
        <v>1556</v>
      </c>
      <c r="G116" s="21">
        <v>9</v>
      </c>
      <c r="H116" s="21">
        <v>55</v>
      </c>
      <c r="I116" s="21">
        <v>35</v>
      </c>
      <c r="J116" s="42">
        <v>99</v>
      </c>
      <c r="K116" s="21">
        <v>9</v>
      </c>
      <c r="L116" s="21">
        <v>55</v>
      </c>
      <c r="M116" s="21">
        <v>9</v>
      </c>
      <c r="N116" s="21">
        <v>26</v>
      </c>
      <c r="O116" s="21">
        <v>35</v>
      </c>
      <c r="P116" s="21">
        <v>0</v>
      </c>
      <c r="Q116" s="21"/>
      <c r="R116" s="20">
        <f t="shared" si="9"/>
        <v>99</v>
      </c>
      <c r="S116" s="22">
        <f t="shared" si="10"/>
        <v>300040</v>
      </c>
      <c r="T116" s="22">
        <f>COUNTIF($V$4:V116,V116)</f>
        <v>36</v>
      </c>
      <c r="U116" s="22" t="str">
        <f>IF(T116=1,COUNTIF($T$4:T116,1),"")</f>
        <v/>
      </c>
      <c r="V116" s="23" t="str">
        <f t="shared" si="11"/>
        <v>東区03認定こども園</v>
      </c>
      <c r="W116" s="23" t="str">
        <f t="shared" si="12"/>
        <v>認定こども園かりき保育園</v>
      </c>
      <c r="X116" s="24">
        <v>112</v>
      </c>
      <c r="Y116" s="23"/>
      <c r="Z116" s="23"/>
    </row>
    <row r="117" spans="1:26" ht="11.25" customHeight="1" outlineLevel="1">
      <c r="A117" s="16">
        <v>300041</v>
      </c>
      <c r="B117" s="20" t="s">
        <v>199</v>
      </c>
      <c r="C117" s="20" t="s">
        <v>531</v>
      </c>
      <c r="D117" s="20" t="s">
        <v>1067</v>
      </c>
      <c r="E117" s="20" t="s">
        <v>209</v>
      </c>
      <c r="F117" s="21" t="s">
        <v>1436</v>
      </c>
      <c r="G117" s="21">
        <v>15</v>
      </c>
      <c r="H117" s="21">
        <v>45</v>
      </c>
      <c r="I117" s="21">
        <v>45</v>
      </c>
      <c r="J117" s="42">
        <v>105</v>
      </c>
      <c r="K117" s="21">
        <v>15</v>
      </c>
      <c r="L117" s="21">
        <v>45</v>
      </c>
      <c r="M117" s="21">
        <v>15</v>
      </c>
      <c r="N117" s="21">
        <v>30</v>
      </c>
      <c r="O117" s="21">
        <v>45</v>
      </c>
      <c r="P117" s="21">
        <v>0</v>
      </c>
      <c r="Q117" s="21"/>
      <c r="R117" s="20">
        <f t="shared" si="9"/>
        <v>105</v>
      </c>
      <c r="S117" s="22">
        <f t="shared" si="10"/>
        <v>300041</v>
      </c>
      <c r="T117" s="22">
        <f>COUNTIF($V$4:V117,V117)</f>
        <v>37</v>
      </c>
      <c r="U117" s="22" t="str">
        <f>IF(T117=1,COUNTIF($T$4:T117,1),"")</f>
        <v/>
      </c>
      <c r="V117" s="23" t="str">
        <f t="shared" si="11"/>
        <v>東区03認定こども園</v>
      </c>
      <c r="W117" s="23" t="str">
        <f t="shared" si="12"/>
        <v>開成みどり保育園</v>
      </c>
      <c r="X117" s="24">
        <v>113</v>
      </c>
      <c r="Y117" s="23"/>
      <c r="Z117" s="23"/>
    </row>
    <row r="118" spans="1:26" ht="11.25" customHeight="1" outlineLevel="1">
      <c r="A118" s="16">
        <v>300062</v>
      </c>
      <c r="B118" s="20" t="s">
        <v>199</v>
      </c>
      <c r="C118" s="20" t="s">
        <v>531</v>
      </c>
      <c r="D118" s="20" t="s">
        <v>1067</v>
      </c>
      <c r="E118" s="20" t="s">
        <v>209</v>
      </c>
      <c r="F118" s="21" t="s">
        <v>1105</v>
      </c>
      <c r="G118" s="21">
        <v>10</v>
      </c>
      <c r="H118" s="21">
        <v>45</v>
      </c>
      <c r="I118" s="21">
        <v>45</v>
      </c>
      <c r="J118" s="42">
        <v>100</v>
      </c>
      <c r="K118" s="21">
        <v>10</v>
      </c>
      <c r="L118" s="21">
        <v>45</v>
      </c>
      <c r="M118" s="21">
        <v>15</v>
      </c>
      <c r="N118" s="21">
        <v>30</v>
      </c>
      <c r="O118" s="21">
        <v>45</v>
      </c>
      <c r="P118" s="21">
        <v>0</v>
      </c>
      <c r="Q118" s="21"/>
      <c r="R118" s="20">
        <f t="shared" si="9"/>
        <v>100</v>
      </c>
      <c r="S118" s="22">
        <f t="shared" si="10"/>
        <v>300062</v>
      </c>
      <c r="T118" s="22">
        <f>COUNTIF($V$4:V118,V118)</f>
        <v>38</v>
      </c>
      <c r="U118" s="22" t="str">
        <f>IF(T118=1,COUNTIF($T$4:T118,1),"")</f>
        <v/>
      </c>
      <c r="V118" s="23" t="str">
        <f t="shared" si="11"/>
        <v>東区03認定こども園</v>
      </c>
      <c r="W118" s="23" t="str">
        <f t="shared" si="12"/>
        <v>光星友愛認定こども園</v>
      </c>
      <c r="X118" s="24">
        <v>114</v>
      </c>
      <c r="Y118" s="23"/>
      <c r="Z118" s="23"/>
    </row>
    <row r="119" spans="1:26" ht="11.25" customHeight="1" outlineLevel="1">
      <c r="A119" s="16">
        <v>300084</v>
      </c>
      <c r="B119" s="20" t="s">
        <v>199</v>
      </c>
      <c r="C119" s="20" t="s">
        <v>531</v>
      </c>
      <c r="D119" s="20" t="s">
        <v>1067</v>
      </c>
      <c r="E119" s="20" t="s">
        <v>209</v>
      </c>
      <c r="F119" s="21" t="s">
        <v>1437</v>
      </c>
      <c r="G119" s="21">
        <v>12</v>
      </c>
      <c r="H119" s="21">
        <v>33</v>
      </c>
      <c r="I119" s="21">
        <v>27</v>
      </c>
      <c r="J119" s="42">
        <v>72</v>
      </c>
      <c r="K119" s="21">
        <v>12</v>
      </c>
      <c r="L119" s="21">
        <v>33</v>
      </c>
      <c r="M119" s="21">
        <v>6</v>
      </c>
      <c r="N119" s="21">
        <v>21</v>
      </c>
      <c r="O119" s="21">
        <v>27</v>
      </c>
      <c r="P119" s="21">
        <v>0</v>
      </c>
      <c r="Q119" s="21"/>
      <c r="R119" s="20">
        <f t="shared" si="9"/>
        <v>72</v>
      </c>
      <c r="S119" s="22">
        <f t="shared" si="10"/>
        <v>300084</v>
      </c>
      <c r="T119" s="22">
        <f>COUNTIF($V$4:V119,V119)</f>
        <v>39</v>
      </c>
      <c r="U119" s="22" t="str">
        <f>IF(T119=1,COUNTIF($T$4:T119,1),"")</f>
        <v/>
      </c>
      <c r="V119" s="23" t="str">
        <f t="shared" si="11"/>
        <v>東区03認定こども園</v>
      </c>
      <c r="W119" s="23" t="str">
        <f t="shared" si="12"/>
        <v>認定こども園おひさまさっぽろ東保育園</v>
      </c>
      <c r="X119" s="24">
        <v>115</v>
      </c>
      <c r="Y119" s="23"/>
      <c r="Z119" s="23"/>
    </row>
    <row r="120" spans="1:26" ht="11.25" customHeight="1" outlineLevel="1">
      <c r="A120" s="16">
        <v>300105</v>
      </c>
      <c r="B120" s="20" t="s">
        <v>199</v>
      </c>
      <c r="C120" s="20" t="s">
        <v>531</v>
      </c>
      <c r="D120" s="20" t="s">
        <v>1284</v>
      </c>
      <c r="E120" s="20" t="s">
        <v>209</v>
      </c>
      <c r="F120" s="21" t="s">
        <v>1557</v>
      </c>
      <c r="G120" s="21">
        <v>4</v>
      </c>
      <c r="H120" s="21">
        <v>24</v>
      </c>
      <c r="I120" s="21">
        <v>16</v>
      </c>
      <c r="J120" s="42">
        <v>44</v>
      </c>
      <c r="K120" s="21">
        <v>4</v>
      </c>
      <c r="L120" s="21">
        <v>24</v>
      </c>
      <c r="M120" s="21">
        <v>2</v>
      </c>
      <c r="N120" s="21">
        <v>14</v>
      </c>
      <c r="O120" s="21">
        <v>16</v>
      </c>
      <c r="P120" s="21">
        <v>0</v>
      </c>
      <c r="Q120" s="21"/>
      <c r="R120" s="20">
        <f t="shared" si="9"/>
        <v>44</v>
      </c>
      <c r="S120" s="22">
        <f t="shared" si="10"/>
        <v>300105</v>
      </c>
      <c r="T120" s="22">
        <f>COUNTIF($V$4:V120,V120)</f>
        <v>40</v>
      </c>
      <c r="U120" s="22" t="str">
        <f>IF(T120=1,COUNTIF($T$4:T120,1),"")</f>
        <v/>
      </c>
      <c r="V120" s="23" t="str">
        <f t="shared" si="11"/>
        <v>東区03認定こども園</v>
      </c>
      <c r="W120" s="23" t="str">
        <f t="shared" si="12"/>
        <v>まことさつなえこども園</v>
      </c>
      <c r="X120" s="24">
        <v>116</v>
      </c>
      <c r="Y120" s="23"/>
      <c r="Z120" s="23"/>
    </row>
    <row r="121" spans="1:26" ht="11.25" customHeight="1" outlineLevel="1">
      <c r="A121" s="16">
        <v>300106</v>
      </c>
      <c r="B121" s="20" t="s">
        <v>199</v>
      </c>
      <c r="C121" s="20" t="s">
        <v>531</v>
      </c>
      <c r="D121" s="20" t="s">
        <v>1284</v>
      </c>
      <c r="E121" s="20" t="s">
        <v>209</v>
      </c>
      <c r="F121" s="21" t="s">
        <v>1558</v>
      </c>
      <c r="G121" s="21">
        <v>5</v>
      </c>
      <c r="H121" s="21">
        <v>30</v>
      </c>
      <c r="I121" s="21">
        <v>20</v>
      </c>
      <c r="J121" s="42">
        <v>55</v>
      </c>
      <c r="K121" s="21">
        <v>5</v>
      </c>
      <c r="L121" s="21">
        <v>30</v>
      </c>
      <c r="M121" s="21">
        <v>3</v>
      </c>
      <c r="N121" s="21">
        <v>17</v>
      </c>
      <c r="O121" s="21">
        <v>20</v>
      </c>
      <c r="P121" s="21">
        <v>0</v>
      </c>
      <c r="Q121" s="21"/>
      <c r="R121" s="20">
        <f t="shared" si="9"/>
        <v>55</v>
      </c>
      <c r="S121" s="22">
        <f t="shared" si="10"/>
        <v>300106</v>
      </c>
      <c r="T121" s="22">
        <f>COUNTIF($V$4:V121,V121)</f>
        <v>41</v>
      </c>
      <c r="U121" s="22" t="str">
        <f>IF(T121=1,COUNTIF($T$4:T121,1),"")</f>
        <v/>
      </c>
      <c r="V121" s="23" t="str">
        <f t="shared" si="11"/>
        <v>東区03認定こども園</v>
      </c>
      <c r="W121" s="23" t="str">
        <f t="shared" si="12"/>
        <v>まことさっぽろこども園</v>
      </c>
      <c r="X121" s="24">
        <v>117</v>
      </c>
      <c r="Y121" s="23"/>
      <c r="Z121" s="23"/>
    </row>
    <row r="122" spans="1:26" outlineLevel="1">
      <c r="A122" s="16">
        <v>300064</v>
      </c>
      <c r="B122" s="20" t="s">
        <v>199</v>
      </c>
      <c r="C122" s="20" t="s">
        <v>531</v>
      </c>
      <c r="D122" s="20" t="s">
        <v>1071</v>
      </c>
      <c r="E122" s="20" t="s">
        <v>209</v>
      </c>
      <c r="F122" s="21" t="s">
        <v>211</v>
      </c>
      <c r="G122" s="21">
        <v>5</v>
      </c>
      <c r="H122" s="21">
        <v>33</v>
      </c>
      <c r="I122" s="21">
        <v>28</v>
      </c>
      <c r="J122" s="42">
        <v>66</v>
      </c>
      <c r="K122" s="21">
        <v>5</v>
      </c>
      <c r="L122" s="21">
        <v>33</v>
      </c>
      <c r="M122" s="21">
        <v>6</v>
      </c>
      <c r="N122" s="21">
        <v>22</v>
      </c>
      <c r="O122" s="21">
        <v>28</v>
      </c>
      <c r="P122" s="21">
        <v>0</v>
      </c>
      <c r="Q122" s="21"/>
      <c r="R122" s="20">
        <f t="shared" si="9"/>
        <v>66</v>
      </c>
      <c r="S122" s="22">
        <f t="shared" si="10"/>
        <v>300064</v>
      </c>
      <c r="T122" s="22">
        <f>COUNTIF($V$4:V122,V122)</f>
        <v>42</v>
      </c>
      <c r="U122" s="22" t="str">
        <f>IF(T122=1,COUNTIF($T$4:T122,1),"")</f>
        <v/>
      </c>
      <c r="V122" s="23" t="str">
        <f t="shared" si="11"/>
        <v>東区03認定こども園</v>
      </c>
      <c r="W122" s="23" t="str">
        <f t="shared" si="12"/>
        <v>認定こども園かすたねっと</v>
      </c>
      <c r="X122" s="24">
        <v>118</v>
      </c>
      <c r="Y122" s="23"/>
      <c r="Z122" s="23"/>
    </row>
    <row r="123" spans="1:26" ht="11.25" customHeight="1" outlineLevel="1">
      <c r="A123" s="16">
        <v>400007</v>
      </c>
      <c r="B123" s="20" t="s">
        <v>199</v>
      </c>
      <c r="C123" s="20" t="s">
        <v>531</v>
      </c>
      <c r="D123" s="20" t="s">
        <v>1069</v>
      </c>
      <c r="E123" s="20" t="s">
        <v>212</v>
      </c>
      <c r="F123" s="21" t="s">
        <v>1113</v>
      </c>
      <c r="G123" s="21">
        <v>10</v>
      </c>
      <c r="H123" s="21">
        <v>45</v>
      </c>
      <c r="I123" s="21">
        <v>45</v>
      </c>
      <c r="J123" s="42">
        <v>100</v>
      </c>
      <c r="K123" s="21">
        <v>10</v>
      </c>
      <c r="L123" s="21">
        <v>45</v>
      </c>
      <c r="M123" s="21">
        <v>15</v>
      </c>
      <c r="N123" s="21">
        <v>30</v>
      </c>
      <c r="O123" s="21">
        <v>45</v>
      </c>
      <c r="P123" s="21">
        <v>0</v>
      </c>
      <c r="Q123" s="21"/>
      <c r="R123" s="20">
        <f t="shared" si="9"/>
        <v>100</v>
      </c>
      <c r="S123" s="22">
        <f t="shared" si="10"/>
        <v>400007</v>
      </c>
      <c r="T123" s="22">
        <f>COUNTIF($V$4:V123,V123)</f>
        <v>1</v>
      </c>
      <c r="U123" s="22">
        <f>IF(T123=1,COUNTIF($T$4:T123,1),"")</f>
        <v>4</v>
      </c>
      <c r="V123" s="23" t="str">
        <f t="shared" si="11"/>
        <v>白石区03認定こども園</v>
      </c>
      <c r="W123" s="23" t="str">
        <f t="shared" si="12"/>
        <v>友愛北白石認定こども園</v>
      </c>
      <c r="X123" s="24">
        <v>119</v>
      </c>
      <c r="Y123" s="23"/>
      <c r="Z123" s="23"/>
    </row>
    <row r="124" spans="1:26" outlineLevel="1">
      <c r="A124" s="16">
        <v>400008</v>
      </c>
      <c r="B124" s="20" t="s">
        <v>199</v>
      </c>
      <c r="C124" s="20" t="s">
        <v>531</v>
      </c>
      <c r="D124" s="20" t="s">
        <v>1069</v>
      </c>
      <c r="E124" s="20" t="s">
        <v>212</v>
      </c>
      <c r="F124" s="21" t="s">
        <v>1114</v>
      </c>
      <c r="G124" s="21">
        <v>10</v>
      </c>
      <c r="H124" s="21">
        <v>45</v>
      </c>
      <c r="I124" s="21">
        <v>45</v>
      </c>
      <c r="J124" s="42">
        <v>100</v>
      </c>
      <c r="K124" s="21">
        <v>10</v>
      </c>
      <c r="L124" s="21">
        <v>45</v>
      </c>
      <c r="M124" s="21">
        <v>15</v>
      </c>
      <c r="N124" s="21">
        <v>30</v>
      </c>
      <c r="O124" s="21">
        <v>45</v>
      </c>
      <c r="P124" s="21">
        <v>0</v>
      </c>
      <c r="Q124" s="21"/>
      <c r="R124" s="20">
        <f t="shared" si="9"/>
        <v>100</v>
      </c>
      <c r="S124" s="22">
        <f t="shared" si="10"/>
        <v>400008</v>
      </c>
      <c r="T124" s="22">
        <f>COUNTIF($V$4:V124,V124)</f>
        <v>2</v>
      </c>
      <c r="U124" s="22" t="str">
        <f>IF(T124=1,COUNTIF($T$4:T124,1),"")</f>
        <v/>
      </c>
      <c r="V124" s="23" t="str">
        <f t="shared" si="11"/>
        <v>白石区03認定こども園</v>
      </c>
      <c r="W124" s="23" t="str">
        <f t="shared" si="12"/>
        <v>飛翔認定こども園</v>
      </c>
      <c r="X124" s="24">
        <v>120</v>
      </c>
      <c r="Y124" s="23"/>
      <c r="Z124" s="23"/>
    </row>
    <row r="125" spans="1:26" ht="11.25" customHeight="1" outlineLevel="1">
      <c r="A125" s="16">
        <v>400011</v>
      </c>
      <c r="B125" s="20" t="s">
        <v>199</v>
      </c>
      <c r="C125" s="20" t="s">
        <v>531</v>
      </c>
      <c r="D125" s="20" t="s">
        <v>1078</v>
      </c>
      <c r="E125" s="20" t="s">
        <v>212</v>
      </c>
      <c r="F125" s="21" t="s">
        <v>1305</v>
      </c>
      <c r="G125" s="21">
        <v>12</v>
      </c>
      <c r="H125" s="21">
        <v>72</v>
      </c>
      <c r="I125" s="21">
        <v>68</v>
      </c>
      <c r="J125" s="42">
        <v>152</v>
      </c>
      <c r="K125" s="21">
        <v>12</v>
      </c>
      <c r="L125" s="21">
        <v>66</v>
      </c>
      <c r="M125" s="21">
        <v>16</v>
      </c>
      <c r="N125" s="21">
        <v>38</v>
      </c>
      <c r="O125" s="21">
        <v>54</v>
      </c>
      <c r="P125" s="21">
        <v>0</v>
      </c>
      <c r="Q125" s="21"/>
      <c r="R125" s="20">
        <f t="shared" si="9"/>
        <v>132</v>
      </c>
      <c r="S125" s="22">
        <f t="shared" si="10"/>
        <v>400011</v>
      </c>
      <c r="T125" s="22">
        <f>COUNTIF($V$4:V125,V125)</f>
        <v>3</v>
      </c>
      <c r="U125" s="22" t="str">
        <f>IF(T125=1,COUNTIF($T$4:T125,1),"")</f>
        <v/>
      </c>
      <c r="V125" s="23" t="str">
        <f t="shared" si="11"/>
        <v>白石区03認定こども園</v>
      </c>
      <c r="W125" s="23" t="str">
        <f t="shared" si="12"/>
        <v>認定こども園菊水すずらん</v>
      </c>
      <c r="X125" s="24">
        <v>121</v>
      </c>
      <c r="Y125" s="23"/>
      <c r="Z125" s="23"/>
    </row>
    <row r="126" spans="1:26" ht="11.25" customHeight="1" outlineLevel="1">
      <c r="A126" s="16">
        <v>400013</v>
      </c>
      <c r="B126" s="20" t="s">
        <v>199</v>
      </c>
      <c r="C126" s="20" t="s">
        <v>531</v>
      </c>
      <c r="D126" s="20" t="s">
        <v>1069</v>
      </c>
      <c r="E126" s="20" t="s">
        <v>212</v>
      </c>
      <c r="F126" s="21" t="s">
        <v>1115</v>
      </c>
      <c r="G126" s="21">
        <v>9</v>
      </c>
      <c r="H126" s="21">
        <v>90</v>
      </c>
      <c r="I126" s="21">
        <v>60</v>
      </c>
      <c r="J126" s="42">
        <v>159</v>
      </c>
      <c r="K126" s="21">
        <v>9</v>
      </c>
      <c r="L126" s="21">
        <v>76</v>
      </c>
      <c r="M126" s="21">
        <v>12</v>
      </c>
      <c r="N126" s="21">
        <v>42</v>
      </c>
      <c r="O126" s="21">
        <v>54</v>
      </c>
      <c r="P126" s="21">
        <v>0</v>
      </c>
      <c r="Q126" s="21"/>
      <c r="R126" s="20">
        <f t="shared" si="9"/>
        <v>139</v>
      </c>
      <c r="S126" s="22">
        <f t="shared" si="10"/>
        <v>400013</v>
      </c>
      <c r="T126" s="22">
        <f>COUNTIF($V$4:V126,V126)</f>
        <v>4</v>
      </c>
      <c r="U126" s="22" t="str">
        <f>IF(T126=1,COUNTIF($T$4:T126,1),"")</f>
        <v/>
      </c>
      <c r="V126" s="23" t="str">
        <f t="shared" si="11"/>
        <v>白石区03認定こども園</v>
      </c>
      <c r="W126" s="23" t="str">
        <f t="shared" si="12"/>
        <v>北郷ピノキオ認定こども園</v>
      </c>
      <c r="X126" s="24">
        <v>122</v>
      </c>
      <c r="Y126" s="23"/>
      <c r="Z126" s="23"/>
    </row>
    <row r="127" spans="1:26" ht="11.25" customHeight="1" outlineLevel="1">
      <c r="A127" s="16">
        <v>400018</v>
      </c>
      <c r="B127" s="20" t="s">
        <v>199</v>
      </c>
      <c r="C127" s="20" t="s">
        <v>531</v>
      </c>
      <c r="D127" s="20" t="s">
        <v>1069</v>
      </c>
      <c r="E127" s="20" t="s">
        <v>212</v>
      </c>
      <c r="F127" s="21" t="s">
        <v>1116</v>
      </c>
      <c r="G127" s="21">
        <v>15</v>
      </c>
      <c r="H127" s="21">
        <v>48</v>
      </c>
      <c r="I127" s="21">
        <v>42</v>
      </c>
      <c r="J127" s="42">
        <v>105</v>
      </c>
      <c r="K127" s="21">
        <v>15</v>
      </c>
      <c r="L127" s="21">
        <v>48</v>
      </c>
      <c r="M127" s="21">
        <v>12</v>
      </c>
      <c r="N127" s="21">
        <v>30</v>
      </c>
      <c r="O127" s="21">
        <v>42</v>
      </c>
      <c r="P127" s="21">
        <v>0</v>
      </c>
      <c r="Q127" s="21"/>
      <c r="R127" s="20">
        <f t="shared" si="9"/>
        <v>105</v>
      </c>
      <c r="S127" s="22">
        <f t="shared" si="10"/>
        <v>400018</v>
      </c>
      <c r="T127" s="22">
        <f>COUNTIF($V$4:V127,V127)</f>
        <v>5</v>
      </c>
      <c r="U127" s="22" t="str">
        <f>IF(T127=1,COUNTIF($T$4:T127,1),"")</f>
        <v/>
      </c>
      <c r="V127" s="23" t="str">
        <f t="shared" si="11"/>
        <v>白石区03認定こども園</v>
      </c>
      <c r="W127" s="23" t="str">
        <f t="shared" si="12"/>
        <v>双葉こども園</v>
      </c>
      <c r="X127" s="24">
        <v>123</v>
      </c>
      <c r="Y127" s="23"/>
      <c r="Z127" s="23"/>
    </row>
    <row r="128" spans="1:26" ht="11.25" customHeight="1" outlineLevel="1">
      <c r="A128" s="16">
        <v>400020</v>
      </c>
      <c r="B128" s="20" t="s">
        <v>199</v>
      </c>
      <c r="C128" s="20" t="s">
        <v>531</v>
      </c>
      <c r="D128" s="20" t="s">
        <v>1069</v>
      </c>
      <c r="E128" s="20" t="s">
        <v>212</v>
      </c>
      <c r="F128" s="21" t="s">
        <v>1117</v>
      </c>
      <c r="G128" s="21">
        <v>15</v>
      </c>
      <c r="H128" s="21">
        <v>48</v>
      </c>
      <c r="I128" s="21">
        <v>42</v>
      </c>
      <c r="J128" s="42">
        <v>105</v>
      </c>
      <c r="K128" s="21">
        <v>15</v>
      </c>
      <c r="L128" s="21">
        <v>48</v>
      </c>
      <c r="M128" s="21">
        <v>10</v>
      </c>
      <c r="N128" s="21">
        <v>32</v>
      </c>
      <c r="O128" s="21">
        <v>42</v>
      </c>
      <c r="P128" s="21">
        <v>0</v>
      </c>
      <c r="Q128" s="21"/>
      <c r="R128" s="20">
        <f t="shared" si="9"/>
        <v>105</v>
      </c>
      <c r="S128" s="22">
        <f t="shared" si="10"/>
        <v>400020</v>
      </c>
      <c r="T128" s="22">
        <f>COUNTIF($V$4:V128,V128)</f>
        <v>6</v>
      </c>
      <c r="U128" s="22" t="str">
        <f>IF(T128=1,COUNTIF($T$4:T128,1),"")</f>
        <v/>
      </c>
      <c r="V128" s="23" t="str">
        <f t="shared" si="11"/>
        <v>白石区03認定こども園</v>
      </c>
      <c r="W128" s="23" t="str">
        <f t="shared" si="12"/>
        <v>認定こども園北都</v>
      </c>
      <c r="X128" s="24">
        <v>124</v>
      </c>
      <c r="Y128" s="23"/>
      <c r="Z128" s="23"/>
    </row>
    <row r="129" spans="1:256" ht="11.25" customHeight="1" outlineLevel="1">
      <c r="A129" s="16">
        <v>400031</v>
      </c>
      <c r="B129" s="20" t="s">
        <v>199</v>
      </c>
      <c r="C129" s="20" t="s">
        <v>531</v>
      </c>
      <c r="D129" s="20" t="s">
        <v>1069</v>
      </c>
      <c r="E129" s="20" t="s">
        <v>212</v>
      </c>
      <c r="F129" s="21" t="s">
        <v>1119</v>
      </c>
      <c r="G129" s="21">
        <v>10</v>
      </c>
      <c r="H129" s="21">
        <v>45</v>
      </c>
      <c r="I129" s="21">
        <v>45</v>
      </c>
      <c r="J129" s="42">
        <v>100</v>
      </c>
      <c r="K129" s="21">
        <v>10</v>
      </c>
      <c r="L129" s="21">
        <v>45</v>
      </c>
      <c r="M129" s="21">
        <v>15</v>
      </c>
      <c r="N129" s="21">
        <v>30</v>
      </c>
      <c r="O129" s="21">
        <v>45</v>
      </c>
      <c r="P129" s="21">
        <v>0</v>
      </c>
      <c r="Q129" s="21"/>
      <c r="R129" s="20">
        <f t="shared" si="9"/>
        <v>100</v>
      </c>
      <c r="S129" s="22">
        <f t="shared" si="10"/>
        <v>400031</v>
      </c>
      <c r="T129" s="22">
        <f>COUNTIF($V$4:V129,V129)</f>
        <v>7</v>
      </c>
      <c r="U129" s="22" t="str">
        <f>IF(T129=1,COUNTIF($T$4:T129,1),"")</f>
        <v/>
      </c>
      <c r="V129" s="23" t="str">
        <f t="shared" si="11"/>
        <v>白石区03認定こども園</v>
      </c>
      <c r="W129" s="23" t="str">
        <f t="shared" si="12"/>
        <v>認定こども園北郷すずらん</v>
      </c>
      <c r="X129" s="24">
        <v>125</v>
      </c>
      <c r="Y129" s="23"/>
    </row>
    <row r="130" spans="1:256" ht="11.25" customHeight="1" outlineLevel="1">
      <c r="A130" s="16">
        <v>400043</v>
      </c>
      <c r="B130" s="20" t="s">
        <v>199</v>
      </c>
      <c r="C130" s="20" t="s">
        <v>531</v>
      </c>
      <c r="D130" s="20" t="s">
        <v>1069</v>
      </c>
      <c r="E130" s="20" t="s">
        <v>212</v>
      </c>
      <c r="F130" s="21" t="s">
        <v>213</v>
      </c>
      <c r="G130" s="21">
        <v>90</v>
      </c>
      <c r="H130" s="21">
        <v>40</v>
      </c>
      <c r="I130" s="21">
        <v>30</v>
      </c>
      <c r="J130" s="42">
        <v>160</v>
      </c>
      <c r="K130" s="21">
        <v>65</v>
      </c>
      <c r="L130" s="21">
        <v>40</v>
      </c>
      <c r="M130" s="21">
        <v>8</v>
      </c>
      <c r="N130" s="21">
        <v>22</v>
      </c>
      <c r="O130" s="21">
        <v>30</v>
      </c>
      <c r="P130" s="21">
        <v>0</v>
      </c>
      <c r="Q130" s="21"/>
      <c r="R130" s="20">
        <f t="shared" si="9"/>
        <v>135</v>
      </c>
      <c r="S130" s="22">
        <f t="shared" si="10"/>
        <v>400043</v>
      </c>
      <c r="T130" s="22">
        <f>COUNTIF($V$4:V130,V130)</f>
        <v>8</v>
      </c>
      <c r="U130" s="22" t="str">
        <f>IF(T130=1,COUNTIF($T$4:T130,1),"")</f>
        <v/>
      </c>
      <c r="V130" s="23" t="str">
        <f t="shared" si="11"/>
        <v>白石区03認定こども園</v>
      </c>
      <c r="W130" s="23" t="str">
        <f t="shared" si="12"/>
        <v>東橋いちい認定こども園</v>
      </c>
      <c r="X130" s="24">
        <v>126</v>
      </c>
      <c r="Y130" s="23"/>
    </row>
    <row r="131" spans="1:256" s="32" customFormat="1" ht="11.25" customHeight="1" outlineLevel="1">
      <c r="A131" s="16">
        <v>400044</v>
      </c>
      <c r="B131" s="20" t="s">
        <v>199</v>
      </c>
      <c r="C131" s="20" t="s">
        <v>531</v>
      </c>
      <c r="D131" s="20" t="s">
        <v>1069</v>
      </c>
      <c r="E131" s="20" t="s">
        <v>212</v>
      </c>
      <c r="F131" s="21" t="s">
        <v>214</v>
      </c>
      <c r="G131" s="21">
        <v>180</v>
      </c>
      <c r="H131" s="21">
        <v>33</v>
      </c>
      <c r="I131" s="21">
        <v>27</v>
      </c>
      <c r="J131" s="42">
        <v>240</v>
      </c>
      <c r="K131" s="21">
        <v>120</v>
      </c>
      <c r="L131" s="21">
        <v>33</v>
      </c>
      <c r="M131" s="21">
        <v>6</v>
      </c>
      <c r="N131" s="21">
        <v>21</v>
      </c>
      <c r="O131" s="21">
        <v>27</v>
      </c>
      <c r="P131" s="21">
        <v>0</v>
      </c>
      <c r="Q131" s="21"/>
      <c r="R131" s="20">
        <f t="shared" si="9"/>
        <v>180</v>
      </c>
      <c r="S131" s="22">
        <f t="shared" si="10"/>
        <v>400044</v>
      </c>
      <c r="T131" s="22">
        <f>COUNTIF($V$4:V131,V131)</f>
        <v>9</v>
      </c>
      <c r="U131" s="22" t="str">
        <f>IF(T131=1,COUNTIF($T$4:T131,1),"")</f>
        <v/>
      </c>
      <c r="V131" s="23" t="str">
        <f t="shared" si="11"/>
        <v>白石区03認定こども園</v>
      </c>
      <c r="W131" s="23" t="str">
        <f t="shared" si="12"/>
        <v>認定こども園幌東</v>
      </c>
      <c r="X131" s="24">
        <v>127</v>
      </c>
      <c r="Y131" s="23"/>
      <c r="Z131" s="9"/>
      <c r="AA131" s="9"/>
      <c r="AB131" s="9"/>
      <c r="AC131" s="9"/>
      <c r="AD131" s="9"/>
      <c r="AE131" s="9"/>
      <c r="AF131" s="9"/>
      <c r="AG131" s="9"/>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row>
    <row r="132" spans="1:256" ht="11.25" customHeight="1" outlineLevel="1">
      <c r="A132" s="16">
        <v>400045</v>
      </c>
      <c r="B132" s="20" t="s">
        <v>199</v>
      </c>
      <c r="C132" s="20" t="s">
        <v>531</v>
      </c>
      <c r="D132" s="20" t="s">
        <v>1069</v>
      </c>
      <c r="E132" s="20" t="s">
        <v>212</v>
      </c>
      <c r="F132" s="21" t="s">
        <v>215</v>
      </c>
      <c r="G132" s="21">
        <v>170</v>
      </c>
      <c r="H132" s="21">
        <v>32</v>
      </c>
      <c r="I132" s="21">
        <v>28</v>
      </c>
      <c r="J132" s="42">
        <v>230</v>
      </c>
      <c r="K132" s="21">
        <v>150</v>
      </c>
      <c r="L132" s="21">
        <v>32</v>
      </c>
      <c r="M132" s="21">
        <v>8</v>
      </c>
      <c r="N132" s="21">
        <v>20</v>
      </c>
      <c r="O132" s="21">
        <v>28</v>
      </c>
      <c r="P132" s="21">
        <v>0</v>
      </c>
      <c r="Q132" s="21"/>
      <c r="R132" s="20">
        <f t="shared" si="9"/>
        <v>210</v>
      </c>
      <c r="S132" s="22">
        <f t="shared" si="10"/>
        <v>400045</v>
      </c>
      <c r="T132" s="22">
        <f>COUNTIF($V$4:V132,V132)</f>
        <v>10</v>
      </c>
      <c r="U132" s="22" t="str">
        <f>IF(T132=1,COUNTIF($T$4:T132,1),"")</f>
        <v/>
      </c>
      <c r="V132" s="23" t="str">
        <f t="shared" si="11"/>
        <v>白石区03認定こども園</v>
      </c>
      <c r="W132" s="23" t="str">
        <f t="shared" si="12"/>
        <v>菊水いちい認定こども園</v>
      </c>
      <c r="X132" s="24">
        <v>128</v>
      </c>
      <c r="Y132" s="23"/>
      <c r="Z132" s="32"/>
      <c r="AA132" s="32"/>
      <c r="AB132" s="32"/>
      <c r="AC132" s="32"/>
      <c r="AD132" s="32"/>
      <c r="AE132" s="32"/>
      <c r="AF132" s="32"/>
      <c r="AG132" s="32"/>
    </row>
    <row r="133" spans="1:256" ht="11.25" customHeight="1" outlineLevel="1">
      <c r="A133" s="16">
        <v>400066</v>
      </c>
      <c r="B133" s="20" t="s">
        <v>199</v>
      </c>
      <c r="C133" s="20" t="s">
        <v>531</v>
      </c>
      <c r="D133" s="20" t="s">
        <v>1069</v>
      </c>
      <c r="E133" s="20" t="s">
        <v>212</v>
      </c>
      <c r="F133" s="21" t="s">
        <v>1120</v>
      </c>
      <c r="G133" s="21">
        <v>90</v>
      </c>
      <c r="H133" s="21">
        <v>51</v>
      </c>
      <c r="I133" s="21">
        <v>29</v>
      </c>
      <c r="J133" s="42">
        <v>170</v>
      </c>
      <c r="K133" s="21">
        <v>90</v>
      </c>
      <c r="L133" s="21">
        <v>51</v>
      </c>
      <c r="M133" s="21">
        <v>6</v>
      </c>
      <c r="N133" s="21">
        <v>23</v>
      </c>
      <c r="O133" s="21">
        <v>29</v>
      </c>
      <c r="P133" s="21">
        <v>0</v>
      </c>
      <c r="Q133" s="21"/>
      <c r="R133" s="20">
        <f t="shared" ref="R133:R196" si="16">SUM(K133,L133,O133)</f>
        <v>170</v>
      </c>
      <c r="S133" s="22">
        <f t="shared" si="10"/>
        <v>400066</v>
      </c>
      <c r="T133" s="22">
        <f>COUNTIF($V$4:V133,V133)</f>
        <v>11</v>
      </c>
      <c r="U133" s="22" t="str">
        <f>IF(T133=1,COUNTIF($T$4:T133,1),"")</f>
        <v/>
      </c>
      <c r="V133" s="23" t="str">
        <f t="shared" si="11"/>
        <v>白石区03認定こども園</v>
      </c>
      <c r="W133" s="23" t="str">
        <f t="shared" si="12"/>
        <v>認定こども園北郷あゆみ幼稚園</v>
      </c>
      <c r="X133" s="24">
        <v>129</v>
      </c>
      <c r="Y133" s="23"/>
    </row>
    <row r="134" spans="1:256" ht="11.25" customHeight="1" outlineLevel="1">
      <c r="A134" s="16">
        <v>400067</v>
      </c>
      <c r="B134" s="20" t="s">
        <v>199</v>
      </c>
      <c r="C134" s="20" t="s">
        <v>531</v>
      </c>
      <c r="D134" s="20" t="s">
        <v>1069</v>
      </c>
      <c r="E134" s="20" t="s">
        <v>212</v>
      </c>
      <c r="F134" s="21" t="s">
        <v>1121</v>
      </c>
      <c r="G134" s="21">
        <v>303</v>
      </c>
      <c r="H134" s="21">
        <v>57</v>
      </c>
      <c r="I134" s="21">
        <v>44</v>
      </c>
      <c r="J134" s="42">
        <v>404</v>
      </c>
      <c r="K134" s="21">
        <v>303</v>
      </c>
      <c r="L134" s="21">
        <v>57</v>
      </c>
      <c r="M134" s="21">
        <v>6</v>
      </c>
      <c r="N134" s="21">
        <v>38</v>
      </c>
      <c r="O134" s="21">
        <v>44</v>
      </c>
      <c r="P134" s="21">
        <v>0</v>
      </c>
      <c r="Q134" s="21"/>
      <c r="R134" s="20">
        <f t="shared" si="16"/>
        <v>404</v>
      </c>
      <c r="S134" s="22">
        <f t="shared" ref="S134:S197" si="17">A134</f>
        <v>400067</v>
      </c>
      <c r="T134" s="22">
        <f>COUNTIF($V$4:V134,V134)</f>
        <v>12</v>
      </c>
      <c r="U134" s="22" t="str">
        <f>IF(T134=1,COUNTIF($T$4:T134,1),"")</f>
        <v/>
      </c>
      <c r="V134" s="23" t="str">
        <f t="shared" ref="V134:V197" si="18">$E134&amp;$C134</f>
        <v>白石区03認定こども園</v>
      </c>
      <c r="W134" s="23" t="str">
        <f t="shared" ref="W134:W197" si="19">$F134</f>
        <v>北都幼稚園</v>
      </c>
      <c r="X134" s="24">
        <v>130</v>
      </c>
      <c r="Y134" s="23"/>
    </row>
    <row r="135" spans="1:256" ht="11.25" customHeight="1" outlineLevel="1">
      <c r="A135" s="16">
        <v>400069</v>
      </c>
      <c r="B135" s="20" t="s">
        <v>199</v>
      </c>
      <c r="C135" s="20" t="s">
        <v>531</v>
      </c>
      <c r="D135" s="20" t="s">
        <v>1069</v>
      </c>
      <c r="E135" s="20" t="s">
        <v>212</v>
      </c>
      <c r="F135" s="21" t="s">
        <v>1122</v>
      </c>
      <c r="G135" s="21">
        <v>15</v>
      </c>
      <c r="H135" s="21">
        <v>49</v>
      </c>
      <c r="I135" s="21">
        <v>41</v>
      </c>
      <c r="J135" s="42">
        <v>105</v>
      </c>
      <c r="K135" s="21">
        <v>15</v>
      </c>
      <c r="L135" s="21">
        <v>49</v>
      </c>
      <c r="M135" s="21">
        <v>9</v>
      </c>
      <c r="N135" s="21">
        <v>32</v>
      </c>
      <c r="O135" s="21">
        <v>41</v>
      </c>
      <c r="P135" s="21">
        <v>0</v>
      </c>
      <c r="Q135" s="21"/>
      <c r="R135" s="20">
        <f t="shared" si="16"/>
        <v>105</v>
      </c>
      <c r="S135" s="22">
        <f t="shared" si="17"/>
        <v>400069</v>
      </c>
      <c r="T135" s="22">
        <f>COUNTIF($V$4:V135,V135)</f>
        <v>13</v>
      </c>
      <c r="U135" s="22" t="str">
        <f>IF(T135=1,COUNTIF($T$4:T135,1),"")</f>
        <v/>
      </c>
      <c r="V135" s="23" t="str">
        <f t="shared" si="18"/>
        <v>白石区03認定こども園</v>
      </c>
      <c r="W135" s="23" t="str">
        <f t="shared" si="19"/>
        <v>認定こども園ピッコリーノ学院</v>
      </c>
      <c r="X135" s="24">
        <v>131</v>
      </c>
      <c r="Y135" s="23"/>
    </row>
    <row r="136" spans="1:256" ht="11.25" customHeight="1" outlineLevel="1">
      <c r="A136" s="16">
        <v>400073</v>
      </c>
      <c r="B136" s="20" t="s">
        <v>199</v>
      </c>
      <c r="C136" s="20" t="s">
        <v>531</v>
      </c>
      <c r="D136" s="20" t="s">
        <v>1078</v>
      </c>
      <c r="E136" s="20" t="s">
        <v>212</v>
      </c>
      <c r="F136" s="21" t="s">
        <v>1438</v>
      </c>
      <c r="G136" s="21">
        <v>150</v>
      </c>
      <c r="H136" s="21">
        <v>30</v>
      </c>
      <c r="I136" s="21">
        <v>20</v>
      </c>
      <c r="J136" s="42">
        <v>200</v>
      </c>
      <c r="K136" s="21">
        <v>150</v>
      </c>
      <c r="L136" s="21">
        <v>30</v>
      </c>
      <c r="M136" s="21">
        <v>0</v>
      </c>
      <c r="N136" s="21">
        <v>20</v>
      </c>
      <c r="O136" s="21">
        <v>20</v>
      </c>
      <c r="P136" s="21">
        <v>0</v>
      </c>
      <c r="Q136" s="21"/>
      <c r="R136" s="20">
        <f t="shared" si="16"/>
        <v>200</v>
      </c>
      <c r="S136" s="22">
        <f t="shared" si="17"/>
        <v>400073</v>
      </c>
      <c r="T136" s="22">
        <f>COUNTIF($V$4:V136,V136)</f>
        <v>14</v>
      </c>
      <c r="U136" s="22" t="str">
        <f>IF(T136=1,COUNTIF($T$4:T136,1),"")</f>
        <v/>
      </c>
      <c r="V136" s="23" t="str">
        <f t="shared" si="18"/>
        <v>白石区03認定こども園</v>
      </c>
      <c r="W136" s="23" t="str">
        <f t="shared" si="19"/>
        <v>幼保連携型認定こども園南郷札幌幼稚園</v>
      </c>
      <c r="X136" s="24">
        <v>132</v>
      </c>
      <c r="Y136" s="23"/>
    </row>
    <row r="137" spans="1:256" ht="11.25" customHeight="1" outlineLevel="1">
      <c r="A137" s="16">
        <v>400074</v>
      </c>
      <c r="B137" s="20" t="s">
        <v>199</v>
      </c>
      <c r="C137" s="20" t="s">
        <v>531</v>
      </c>
      <c r="D137" s="20" t="s">
        <v>1069</v>
      </c>
      <c r="E137" s="20" t="s">
        <v>212</v>
      </c>
      <c r="F137" s="21" t="s">
        <v>1304</v>
      </c>
      <c r="G137" s="21">
        <v>180</v>
      </c>
      <c r="H137" s="21">
        <v>48</v>
      </c>
      <c r="I137" s="21">
        <v>12</v>
      </c>
      <c r="J137" s="42">
        <v>240</v>
      </c>
      <c r="K137" s="21">
        <v>180</v>
      </c>
      <c r="L137" s="21">
        <v>48</v>
      </c>
      <c r="M137" s="21">
        <v>0</v>
      </c>
      <c r="N137" s="21">
        <v>12</v>
      </c>
      <c r="O137" s="21">
        <v>12</v>
      </c>
      <c r="P137" s="21">
        <v>0</v>
      </c>
      <c r="Q137" s="21"/>
      <c r="R137" s="20">
        <f t="shared" si="16"/>
        <v>240</v>
      </c>
      <c r="S137" s="22">
        <f t="shared" si="17"/>
        <v>400074</v>
      </c>
      <c r="T137" s="22">
        <f>COUNTIF($V$4:V137,V137)</f>
        <v>15</v>
      </c>
      <c r="U137" s="22" t="str">
        <f>IF(T137=1,COUNTIF($T$4:T137,1),"")</f>
        <v/>
      </c>
      <c r="V137" s="23" t="str">
        <f t="shared" si="18"/>
        <v>白石区03認定こども園</v>
      </c>
      <c r="W137" s="23" t="str">
        <f t="shared" si="19"/>
        <v>幼保連携型認定こども園北郷札幌幼稚園</v>
      </c>
      <c r="X137" s="24">
        <v>133</v>
      </c>
      <c r="Y137" s="23"/>
    </row>
    <row r="138" spans="1:256" ht="11.25" customHeight="1" outlineLevel="1">
      <c r="A138" s="16">
        <v>400009</v>
      </c>
      <c r="B138" s="20" t="s">
        <v>199</v>
      </c>
      <c r="C138" s="20" t="s">
        <v>531</v>
      </c>
      <c r="D138" s="20" t="s">
        <v>1067</v>
      </c>
      <c r="E138" s="20" t="s">
        <v>212</v>
      </c>
      <c r="F138" s="21" t="s">
        <v>1306</v>
      </c>
      <c r="G138" s="21">
        <v>15</v>
      </c>
      <c r="H138" s="21">
        <v>60</v>
      </c>
      <c r="I138" s="21">
        <v>30</v>
      </c>
      <c r="J138" s="42">
        <v>105</v>
      </c>
      <c r="K138" s="21">
        <v>15</v>
      </c>
      <c r="L138" s="21">
        <v>60</v>
      </c>
      <c r="M138" s="21">
        <v>5</v>
      </c>
      <c r="N138" s="21">
        <v>25</v>
      </c>
      <c r="O138" s="21">
        <v>30</v>
      </c>
      <c r="P138" s="21">
        <v>0</v>
      </c>
      <c r="Q138" s="21"/>
      <c r="R138" s="20">
        <f t="shared" si="16"/>
        <v>105</v>
      </c>
      <c r="S138" s="22">
        <f t="shared" si="17"/>
        <v>400009</v>
      </c>
      <c r="T138" s="22">
        <f>COUNTIF($V$4:V138,V138)</f>
        <v>16</v>
      </c>
      <c r="U138" s="22" t="str">
        <f>IF(T138=1,COUNTIF($T$4:T138,1),"")</f>
        <v/>
      </c>
      <c r="V138" s="23" t="str">
        <f t="shared" si="18"/>
        <v>白石区03認定こども園</v>
      </c>
      <c r="W138" s="23" t="str">
        <f t="shared" si="19"/>
        <v>認定こども園菊水元町第二保育園</v>
      </c>
      <c r="X138" s="24">
        <v>134</v>
      </c>
      <c r="Y138" s="23"/>
    </row>
    <row r="139" spans="1:256" ht="11.25" customHeight="1" outlineLevel="1">
      <c r="A139" s="16">
        <v>400012</v>
      </c>
      <c r="B139" s="20" t="s">
        <v>199</v>
      </c>
      <c r="C139" s="20" t="s">
        <v>531</v>
      </c>
      <c r="D139" s="20" t="s">
        <v>1284</v>
      </c>
      <c r="E139" s="20" t="s">
        <v>212</v>
      </c>
      <c r="F139" s="21" t="s">
        <v>1658</v>
      </c>
      <c r="G139" s="21">
        <v>9</v>
      </c>
      <c r="H139" s="21">
        <v>78</v>
      </c>
      <c r="I139" s="21">
        <v>52</v>
      </c>
      <c r="J139" s="42">
        <v>139</v>
      </c>
      <c r="K139" s="21">
        <v>9</v>
      </c>
      <c r="L139" s="21">
        <v>78</v>
      </c>
      <c r="M139" s="21">
        <v>12</v>
      </c>
      <c r="N139" s="21">
        <v>40</v>
      </c>
      <c r="O139" s="21">
        <v>52</v>
      </c>
      <c r="P139" s="21">
        <v>0</v>
      </c>
      <c r="Q139" s="21"/>
      <c r="R139" s="20">
        <f t="shared" si="16"/>
        <v>139</v>
      </c>
      <c r="S139" s="22">
        <f t="shared" si="17"/>
        <v>400012</v>
      </c>
      <c r="T139" s="22">
        <f>COUNTIF($V$4:V139,V139)</f>
        <v>17</v>
      </c>
      <c r="U139" s="22" t="str">
        <f>IF(T139=1,COUNTIF($T$4:T139,1),"")</f>
        <v/>
      </c>
      <c r="V139" s="23" t="str">
        <f t="shared" si="18"/>
        <v>白石区03認定こども園</v>
      </c>
      <c r="W139" s="23" t="str">
        <f t="shared" si="19"/>
        <v>認定こども園札幌愛隣舘第二</v>
      </c>
      <c r="X139" s="24">
        <v>135</v>
      </c>
      <c r="Y139" s="23"/>
    </row>
    <row r="140" spans="1:256" ht="11.25" customHeight="1" outlineLevel="1">
      <c r="A140" s="16">
        <v>400014</v>
      </c>
      <c r="B140" s="20" t="s">
        <v>199</v>
      </c>
      <c r="C140" s="20" t="s">
        <v>531</v>
      </c>
      <c r="D140" s="20" t="s">
        <v>1067</v>
      </c>
      <c r="E140" s="20" t="s">
        <v>212</v>
      </c>
      <c r="F140" s="21" t="s">
        <v>1439</v>
      </c>
      <c r="G140" s="21">
        <v>15</v>
      </c>
      <c r="H140" s="21">
        <v>60</v>
      </c>
      <c r="I140" s="21">
        <v>50</v>
      </c>
      <c r="J140" s="42">
        <v>125</v>
      </c>
      <c r="K140" s="21">
        <v>15</v>
      </c>
      <c r="L140" s="21">
        <v>60</v>
      </c>
      <c r="M140" s="21">
        <v>16</v>
      </c>
      <c r="N140" s="21">
        <v>34</v>
      </c>
      <c r="O140" s="21">
        <v>50</v>
      </c>
      <c r="P140" s="21">
        <v>0</v>
      </c>
      <c r="Q140" s="21"/>
      <c r="R140" s="20">
        <f t="shared" si="16"/>
        <v>125</v>
      </c>
      <c r="S140" s="22">
        <f t="shared" si="17"/>
        <v>400014</v>
      </c>
      <c r="T140" s="22">
        <f>COUNTIF($V$4:V140,V140)</f>
        <v>18</v>
      </c>
      <c r="U140" s="22" t="str">
        <f>IF(T140=1,COUNTIF($T$4:T140,1),"")</f>
        <v/>
      </c>
      <c r="V140" s="23" t="str">
        <f t="shared" si="18"/>
        <v>白石区03認定こども園</v>
      </c>
      <c r="W140" s="23" t="str">
        <f t="shared" si="19"/>
        <v>柏葉保育園</v>
      </c>
      <c r="X140" s="24">
        <v>136</v>
      </c>
      <c r="Y140" s="23"/>
    </row>
    <row r="141" spans="1:256" ht="11.25" customHeight="1" outlineLevel="1">
      <c r="A141" s="16">
        <v>400015</v>
      </c>
      <c r="B141" s="20" t="s">
        <v>199</v>
      </c>
      <c r="C141" s="20" t="s">
        <v>531</v>
      </c>
      <c r="D141" s="20" t="s">
        <v>1067</v>
      </c>
      <c r="E141" s="20" t="s">
        <v>212</v>
      </c>
      <c r="F141" s="21" t="s">
        <v>1307</v>
      </c>
      <c r="G141" s="21">
        <v>15</v>
      </c>
      <c r="H141" s="21">
        <v>87</v>
      </c>
      <c r="I141" s="21">
        <v>73</v>
      </c>
      <c r="J141" s="42">
        <v>175</v>
      </c>
      <c r="K141" s="21">
        <v>15</v>
      </c>
      <c r="L141" s="21">
        <v>75</v>
      </c>
      <c r="M141" s="21">
        <v>15</v>
      </c>
      <c r="N141" s="21">
        <v>50</v>
      </c>
      <c r="O141" s="21">
        <v>65</v>
      </c>
      <c r="P141" s="21">
        <v>0</v>
      </c>
      <c r="Q141" s="21"/>
      <c r="R141" s="20">
        <f t="shared" si="16"/>
        <v>155</v>
      </c>
      <c r="S141" s="22">
        <f t="shared" si="17"/>
        <v>400015</v>
      </c>
      <c r="T141" s="22">
        <f>COUNTIF($V$4:V141,V141)</f>
        <v>19</v>
      </c>
      <c r="U141" s="22" t="str">
        <f>IF(T141=1,COUNTIF($T$4:T141,1),"")</f>
        <v/>
      </c>
      <c r="V141" s="23" t="str">
        <f t="shared" si="18"/>
        <v>白石区03認定こども園</v>
      </c>
      <c r="W141" s="23" t="str">
        <f t="shared" si="19"/>
        <v>保育所型認定こども園白石中央保育園</v>
      </c>
      <c r="X141" s="24">
        <v>137</v>
      </c>
      <c r="Y141" s="23"/>
    </row>
    <row r="142" spans="1:256" ht="11.25" customHeight="1" outlineLevel="1">
      <c r="A142" s="16">
        <v>400016</v>
      </c>
      <c r="B142" s="20" t="s">
        <v>199</v>
      </c>
      <c r="C142" s="20" t="s">
        <v>531</v>
      </c>
      <c r="D142" s="20" t="s">
        <v>1067</v>
      </c>
      <c r="E142" s="20" t="s">
        <v>212</v>
      </c>
      <c r="F142" s="21" t="s">
        <v>1440</v>
      </c>
      <c r="G142" s="21">
        <v>15</v>
      </c>
      <c r="H142" s="21">
        <v>69</v>
      </c>
      <c r="I142" s="21">
        <v>51</v>
      </c>
      <c r="J142" s="42">
        <v>135</v>
      </c>
      <c r="K142" s="21">
        <v>15</v>
      </c>
      <c r="L142" s="21">
        <v>63</v>
      </c>
      <c r="M142" s="21">
        <v>9</v>
      </c>
      <c r="N142" s="21">
        <v>38</v>
      </c>
      <c r="O142" s="21">
        <v>47</v>
      </c>
      <c r="P142" s="21">
        <v>0</v>
      </c>
      <c r="Q142" s="21"/>
      <c r="R142" s="20">
        <f t="shared" si="16"/>
        <v>125</v>
      </c>
      <c r="S142" s="22">
        <f t="shared" si="17"/>
        <v>400016</v>
      </c>
      <c r="T142" s="22">
        <f>COUNTIF($V$4:V142,V142)</f>
        <v>20</v>
      </c>
      <c r="U142" s="22" t="str">
        <f>IF(T142=1,COUNTIF($T$4:T142,1),"")</f>
        <v/>
      </c>
      <c r="V142" s="23" t="str">
        <f t="shared" si="18"/>
        <v>白石区03認定こども園</v>
      </c>
      <c r="W142" s="23" t="str">
        <f t="shared" si="19"/>
        <v>北の星東札幌保育園</v>
      </c>
      <c r="X142" s="24">
        <v>138</v>
      </c>
      <c r="Y142" s="23"/>
    </row>
    <row r="143" spans="1:256" ht="11.25" customHeight="1" outlineLevel="1">
      <c r="A143" s="16">
        <v>400019</v>
      </c>
      <c r="B143" s="20" t="s">
        <v>199</v>
      </c>
      <c r="C143" s="20" t="s">
        <v>531</v>
      </c>
      <c r="D143" s="20" t="s">
        <v>1067</v>
      </c>
      <c r="E143" s="20" t="s">
        <v>212</v>
      </c>
      <c r="F143" s="21" t="s">
        <v>1441</v>
      </c>
      <c r="G143" s="21">
        <v>15</v>
      </c>
      <c r="H143" s="21">
        <v>90</v>
      </c>
      <c r="I143" s="21">
        <v>60</v>
      </c>
      <c r="J143" s="42">
        <v>165</v>
      </c>
      <c r="K143" s="21">
        <v>15</v>
      </c>
      <c r="L143" s="21">
        <v>74</v>
      </c>
      <c r="M143" s="21">
        <v>6</v>
      </c>
      <c r="N143" s="21">
        <v>30</v>
      </c>
      <c r="O143" s="21">
        <v>36</v>
      </c>
      <c r="P143" s="21">
        <v>0</v>
      </c>
      <c r="Q143" s="21"/>
      <c r="R143" s="20">
        <f t="shared" si="16"/>
        <v>125</v>
      </c>
      <c r="S143" s="22">
        <f t="shared" si="17"/>
        <v>400019</v>
      </c>
      <c r="T143" s="22">
        <f>COUNTIF($V$4:V143,V143)</f>
        <v>21</v>
      </c>
      <c r="U143" s="22" t="str">
        <f>IF(T143=1,COUNTIF($T$4:T143,1),"")</f>
        <v/>
      </c>
      <c r="V143" s="23" t="str">
        <f t="shared" si="18"/>
        <v>白石区03認定こども園</v>
      </c>
      <c r="W143" s="23" t="str">
        <f t="shared" si="19"/>
        <v>北白石こども園</v>
      </c>
      <c r="X143" s="24">
        <v>139</v>
      </c>
      <c r="Y143" s="23"/>
    </row>
    <row r="144" spans="1:256" ht="11.25" customHeight="1" outlineLevel="1">
      <c r="A144" s="16">
        <v>400021</v>
      </c>
      <c r="B144" s="20" t="s">
        <v>199</v>
      </c>
      <c r="C144" s="20" t="s">
        <v>531</v>
      </c>
      <c r="D144" s="20" t="s">
        <v>1067</v>
      </c>
      <c r="E144" s="20" t="s">
        <v>212</v>
      </c>
      <c r="F144" s="21" t="s">
        <v>1559</v>
      </c>
      <c r="G144" s="21">
        <v>15</v>
      </c>
      <c r="H144" s="21">
        <v>90</v>
      </c>
      <c r="I144" s="21">
        <v>70</v>
      </c>
      <c r="J144" s="42">
        <v>175</v>
      </c>
      <c r="K144" s="21">
        <v>15</v>
      </c>
      <c r="L144" s="21">
        <v>90</v>
      </c>
      <c r="M144" s="21">
        <v>20</v>
      </c>
      <c r="N144" s="21">
        <v>50</v>
      </c>
      <c r="O144" s="21">
        <v>70</v>
      </c>
      <c r="P144" s="21">
        <v>0</v>
      </c>
      <c r="Q144" s="21"/>
      <c r="R144" s="20">
        <f t="shared" si="16"/>
        <v>175</v>
      </c>
      <c r="S144" s="22">
        <f t="shared" si="17"/>
        <v>400021</v>
      </c>
      <c r="T144" s="22">
        <f>COUNTIF($V$4:V144,V144)</f>
        <v>22</v>
      </c>
      <c r="U144" s="22" t="str">
        <f>IF(T144=1,COUNTIF($T$4:T144,1),"")</f>
        <v/>
      </c>
      <c r="V144" s="23" t="str">
        <f t="shared" si="18"/>
        <v>白石区03認定こども園</v>
      </c>
      <c r="W144" s="23" t="str">
        <f t="shared" si="19"/>
        <v>認定こども園大谷地たかだ保育園</v>
      </c>
      <c r="X144" s="24">
        <v>140</v>
      </c>
      <c r="Y144" s="23"/>
    </row>
    <row r="145" spans="1:256" ht="11.25" customHeight="1" outlineLevel="1">
      <c r="A145" s="16">
        <v>400022</v>
      </c>
      <c r="B145" s="20" t="s">
        <v>199</v>
      </c>
      <c r="C145" s="20" t="s">
        <v>531</v>
      </c>
      <c r="D145" s="20" t="s">
        <v>1284</v>
      </c>
      <c r="E145" s="20" t="s">
        <v>212</v>
      </c>
      <c r="F145" s="21" t="s">
        <v>1659</v>
      </c>
      <c r="G145" s="21">
        <v>12</v>
      </c>
      <c r="H145" s="21">
        <v>66</v>
      </c>
      <c r="I145" s="21">
        <v>54</v>
      </c>
      <c r="J145" s="42">
        <v>132</v>
      </c>
      <c r="K145" s="21">
        <v>12</v>
      </c>
      <c r="L145" s="21">
        <v>66</v>
      </c>
      <c r="M145" s="21">
        <v>12</v>
      </c>
      <c r="N145" s="21">
        <v>42</v>
      </c>
      <c r="O145" s="21">
        <v>54</v>
      </c>
      <c r="P145" s="21">
        <v>0</v>
      </c>
      <c r="Q145" s="21"/>
      <c r="R145" s="20">
        <f t="shared" si="16"/>
        <v>132</v>
      </c>
      <c r="S145" s="22">
        <f t="shared" si="17"/>
        <v>400022</v>
      </c>
      <c r="T145" s="22">
        <f>COUNTIF($V$4:V145,V145)</f>
        <v>23</v>
      </c>
      <c r="U145" s="22" t="str">
        <f>IF(T145=1,COUNTIF($T$4:T145,1),"")</f>
        <v/>
      </c>
      <c r="V145" s="23" t="str">
        <f t="shared" si="18"/>
        <v>白石区03認定こども園</v>
      </c>
      <c r="W145" s="23" t="str">
        <f t="shared" si="19"/>
        <v>認定こども園南郷保育園</v>
      </c>
      <c r="X145" s="24">
        <v>141</v>
      </c>
      <c r="Y145" s="23"/>
    </row>
    <row r="146" spans="1:256" ht="11.25" customHeight="1" outlineLevel="1">
      <c r="A146" s="16">
        <v>400024</v>
      </c>
      <c r="B146" s="20" t="s">
        <v>199</v>
      </c>
      <c r="C146" s="20" t="s">
        <v>531</v>
      </c>
      <c r="D146" s="20" t="s">
        <v>1067</v>
      </c>
      <c r="E146" s="20" t="s">
        <v>212</v>
      </c>
      <c r="F146" s="21" t="s">
        <v>1442</v>
      </c>
      <c r="G146" s="21">
        <v>15</v>
      </c>
      <c r="H146" s="21">
        <v>60</v>
      </c>
      <c r="I146" s="21">
        <v>50</v>
      </c>
      <c r="J146" s="42">
        <v>125</v>
      </c>
      <c r="K146" s="21">
        <v>15</v>
      </c>
      <c r="L146" s="21">
        <v>60</v>
      </c>
      <c r="M146" s="21">
        <v>12</v>
      </c>
      <c r="N146" s="21">
        <v>38</v>
      </c>
      <c r="O146" s="21">
        <v>50</v>
      </c>
      <c r="P146" s="21">
        <v>0</v>
      </c>
      <c r="Q146" s="21"/>
      <c r="R146" s="20">
        <f t="shared" si="16"/>
        <v>125</v>
      </c>
      <c r="S146" s="22">
        <f t="shared" si="17"/>
        <v>400024</v>
      </c>
      <c r="T146" s="22">
        <f>COUNTIF($V$4:V146,V146)</f>
        <v>24</v>
      </c>
      <c r="U146" s="22" t="str">
        <f>IF(T146=1,COUNTIF($T$4:T146,1),"")</f>
        <v/>
      </c>
      <c r="V146" s="23" t="str">
        <f t="shared" si="18"/>
        <v>白石区03認定こども園</v>
      </c>
      <c r="W146" s="23" t="str">
        <f t="shared" si="19"/>
        <v>こども園まこと</v>
      </c>
      <c r="X146" s="24">
        <v>142</v>
      </c>
      <c r="Y146" s="23"/>
    </row>
    <row r="147" spans="1:256" ht="11.25" customHeight="1" outlineLevel="1">
      <c r="A147" s="16">
        <v>400026</v>
      </c>
      <c r="B147" s="20" t="s">
        <v>199</v>
      </c>
      <c r="C147" s="20" t="s">
        <v>531</v>
      </c>
      <c r="D147" s="20" t="s">
        <v>1067</v>
      </c>
      <c r="E147" s="20" t="s">
        <v>212</v>
      </c>
      <c r="F147" s="21" t="s">
        <v>1443</v>
      </c>
      <c r="G147" s="21">
        <v>15</v>
      </c>
      <c r="H147" s="21">
        <v>66</v>
      </c>
      <c r="I147" s="21">
        <v>54</v>
      </c>
      <c r="J147" s="42">
        <v>135</v>
      </c>
      <c r="K147" s="21">
        <v>15</v>
      </c>
      <c r="L147" s="21">
        <v>62</v>
      </c>
      <c r="M147" s="21">
        <v>12</v>
      </c>
      <c r="N147" s="21">
        <v>36</v>
      </c>
      <c r="O147" s="21">
        <v>48</v>
      </c>
      <c r="P147" s="21">
        <v>0</v>
      </c>
      <c r="Q147" s="21"/>
      <c r="R147" s="20">
        <f t="shared" si="16"/>
        <v>125</v>
      </c>
      <c r="S147" s="22">
        <f t="shared" si="17"/>
        <v>400026</v>
      </c>
      <c r="T147" s="22">
        <f>COUNTIF($V$4:V147,V147)</f>
        <v>25</v>
      </c>
      <c r="U147" s="22" t="str">
        <f>IF(T147=1,COUNTIF($T$4:T147,1),"")</f>
        <v/>
      </c>
      <c r="V147" s="23" t="str">
        <f t="shared" si="18"/>
        <v>白石区03認定こども園</v>
      </c>
      <c r="W147" s="23" t="str">
        <f t="shared" si="19"/>
        <v>北の星白石保育園</v>
      </c>
      <c r="X147" s="24">
        <v>143</v>
      </c>
      <c r="Y147" s="23"/>
    </row>
    <row r="148" spans="1:256" ht="11.25" customHeight="1" outlineLevel="1">
      <c r="A148" s="16">
        <v>400027</v>
      </c>
      <c r="B148" s="20" t="s">
        <v>199</v>
      </c>
      <c r="C148" s="20" t="s">
        <v>531</v>
      </c>
      <c r="D148" s="20" t="s">
        <v>1067</v>
      </c>
      <c r="E148" s="20" t="s">
        <v>212</v>
      </c>
      <c r="F148" s="21" t="s">
        <v>1118</v>
      </c>
      <c r="G148" s="21">
        <v>15</v>
      </c>
      <c r="H148" s="21">
        <v>66</v>
      </c>
      <c r="I148" s="21">
        <v>54</v>
      </c>
      <c r="J148" s="42">
        <v>135</v>
      </c>
      <c r="K148" s="21">
        <v>15</v>
      </c>
      <c r="L148" s="21">
        <v>66</v>
      </c>
      <c r="M148" s="21">
        <v>10</v>
      </c>
      <c r="N148" s="21">
        <v>44</v>
      </c>
      <c r="O148" s="21">
        <v>54</v>
      </c>
      <c r="P148" s="21">
        <v>0</v>
      </c>
      <c r="Q148" s="21"/>
      <c r="R148" s="20">
        <f t="shared" si="16"/>
        <v>135</v>
      </c>
      <c r="S148" s="22">
        <f t="shared" si="17"/>
        <v>400027</v>
      </c>
      <c r="T148" s="22">
        <f>COUNTIF($V$4:V148,V148)</f>
        <v>26</v>
      </c>
      <c r="U148" s="22" t="str">
        <f>IF(T148=1,COUNTIF($T$4:T148,1),"")</f>
        <v/>
      </c>
      <c r="V148" s="23" t="str">
        <f t="shared" si="18"/>
        <v>白石区03認定こども園</v>
      </c>
      <c r="W148" s="23" t="str">
        <f t="shared" si="19"/>
        <v>保育所型認定こども園東川下ポッポ保育園</v>
      </c>
      <c r="X148" s="24">
        <v>144</v>
      </c>
      <c r="Y148" s="23"/>
    </row>
    <row r="149" spans="1:256" ht="11.25" customHeight="1" outlineLevel="1">
      <c r="A149" s="16">
        <v>400028</v>
      </c>
      <c r="B149" s="20" t="s">
        <v>199</v>
      </c>
      <c r="C149" s="20" t="s">
        <v>531</v>
      </c>
      <c r="D149" s="20" t="s">
        <v>1067</v>
      </c>
      <c r="E149" s="20" t="s">
        <v>212</v>
      </c>
      <c r="F149" s="21" t="s">
        <v>1444</v>
      </c>
      <c r="G149" s="21">
        <v>15</v>
      </c>
      <c r="H149" s="21">
        <v>47</v>
      </c>
      <c r="I149" s="21">
        <v>43</v>
      </c>
      <c r="J149" s="42">
        <v>105</v>
      </c>
      <c r="K149" s="21">
        <v>15</v>
      </c>
      <c r="L149" s="21">
        <v>44</v>
      </c>
      <c r="M149" s="21">
        <v>8</v>
      </c>
      <c r="N149" s="21">
        <v>28</v>
      </c>
      <c r="O149" s="21">
        <v>36</v>
      </c>
      <c r="P149" s="21">
        <v>0</v>
      </c>
      <c r="Q149" s="21"/>
      <c r="R149" s="20">
        <f t="shared" si="16"/>
        <v>95</v>
      </c>
      <c r="S149" s="22">
        <f t="shared" si="17"/>
        <v>400028</v>
      </c>
      <c r="T149" s="22">
        <f>COUNTIF($V$4:V149,V149)</f>
        <v>27</v>
      </c>
      <c r="U149" s="22" t="str">
        <f>IF(T149=1,COUNTIF($T$4:T149,1),"")</f>
        <v/>
      </c>
      <c r="V149" s="23" t="str">
        <f t="shared" si="18"/>
        <v>白石区03認定こども園</v>
      </c>
      <c r="W149" s="23" t="str">
        <f t="shared" si="19"/>
        <v>保育所型認定こども園救世軍菊水上町保育園</v>
      </c>
      <c r="X149" s="24">
        <v>145</v>
      </c>
      <c r="Y149" s="23"/>
    </row>
    <row r="150" spans="1:256" ht="11.25" customHeight="1" outlineLevel="1">
      <c r="A150" s="16">
        <v>400029</v>
      </c>
      <c r="B150" s="20" t="s">
        <v>199</v>
      </c>
      <c r="C150" s="20" t="s">
        <v>531</v>
      </c>
      <c r="D150" s="20" t="s">
        <v>1067</v>
      </c>
      <c r="E150" s="20" t="s">
        <v>212</v>
      </c>
      <c r="F150" s="21" t="s">
        <v>1445</v>
      </c>
      <c r="G150" s="21">
        <v>15</v>
      </c>
      <c r="H150" s="21">
        <v>47</v>
      </c>
      <c r="I150" s="21">
        <v>43</v>
      </c>
      <c r="J150" s="42">
        <v>105</v>
      </c>
      <c r="K150" s="21">
        <v>15</v>
      </c>
      <c r="L150" s="21">
        <v>47</v>
      </c>
      <c r="M150" s="21">
        <v>13</v>
      </c>
      <c r="N150" s="21">
        <v>30</v>
      </c>
      <c r="O150" s="21">
        <v>43</v>
      </c>
      <c r="P150" s="21">
        <v>0</v>
      </c>
      <c r="Q150" s="21"/>
      <c r="R150" s="20">
        <f t="shared" si="16"/>
        <v>105</v>
      </c>
      <c r="S150" s="22">
        <f t="shared" si="17"/>
        <v>400029</v>
      </c>
      <c r="T150" s="22">
        <f>COUNTIF($V$4:V150,V150)</f>
        <v>28</v>
      </c>
      <c r="U150" s="22" t="str">
        <f>IF(T150=1,COUNTIF($T$4:T150,1),"")</f>
        <v/>
      </c>
      <c r="V150" s="23" t="str">
        <f t="shared" si="18"/>
        <v>白石区03認定こども園</v>
      </c>
      <c r="W150" s="23" t="str">
        <f t="shared" si="19"/>
        <v>認定こども園白石うさこ保育園</v>
      </c>
      <c r="X150" s="24">
        <v>146</v>
      </c>
      <c r="Y150" s="23"/>
    </row>
    <row r="151" spans="1:256" ht="11.25" customHeight="1" outlineLevel="1">
      <c r="A151" s="16">
        <v>450014</v>
      </c>
      <c r="B151" s="20" t="s">
        <v>199</v>
      </c>
      <c r="C151" s="20" t="s">
        <v>531</v>
      </c>
      <c r="D151" s="20" t="s">
        <v>1069</v>
      </c>
      <c r="E151" s="20" t="s">
        <v>216</v>
      </c>
      <c r="F151" s="21" t="s">
        <v>1123</v>
      </c>
      <c r="G151" s="21">
        <v>15</v>
      </c>
      <c r="H151" s="21">
        <v>45</v>
      </c>
      <c r="I151" s="21">
        <v>45</v>
      </c>
      <c r="J151" s="42">
        <v>105</v>
      </c>
      <c r="K151" s="21">
        <v>15</v>
      </c>
      <c r="L151" s="21">
        <v>45</v>
      </c>
      <c r="M151" s="21">
        <v>15</v>
      </c>
      <c r="N151" s="21">
        <v>30</v>
      </c>
      <c r="O151" s="21">
        <v>45</v>
      </c>
      <c r="P151" s="21">
        <v>0</v>
      </c>
      <c r="Q151" s="21"/>
      <c r="R151" s="20">
        <f t="shared" si="16"/>
        <v>105</v>
      </c>
      <c r="S151" s="22">
        <f t="shared" si="17"/>
        <v>450014</v>
      </c>
      <c r="T151" s="22">
        <f>COUNTIF($V$4:V151,V151)</f>
        <v>1</v>
      </c>
      <c r="U151" s="22">
        <f>IF(T151=1,COUNTIF($T$4:T151,1),"")</f>
        <v>5</v>
      </c>
      <c r="V151" s="23" t="str">
        <f t="shared" si="18"/>
        <v>厚別区03認定こども園</v>
      </c>
      <c r="W151" s="23" t="str">
        <f t="shared" si="19"/>
        <v>認定こども園厚別さくら木保育園</v>
      </c>
      <c r="X151" s="24">
        <v>147</v>
      </c>
      <c r="Y151" s="23"/>
    </row>
    <row r="152" spans="1:256" ht="11.25" customHeight="1" outlineLevel="1">
      <c r="A152" s="16">
        <v>450030</v>
      </c>
      <c r="B152" s="20" t="s">
        <v>199</v>
      </c>
      <c r="C152" s="20" t="s">
        <v>531</v>
      </c>
      <c r="D152" s="20" t="s">
        <v>1069</v>
      </c>
      <c r="E152" s="20" t="s">
        <v>216</v>
      </c>
      <c r="F152" s="21" t="s">
        <v>1124</v>
      </c>
      <c r="G152" s="21">
        <v>170</v>
      </c>
      <c r="H152" s="21">
        <v>32</v>
      </c>
      <c r="I152" s="21">
        <v>28</v>
      </c>
      <c r="J152" s="42">
        <v>230</v>
      </c>
      <c r="K152" s="21">
        <v>120</v>
      </c>
      <c r="L152" s="21">
        <v>32</v>
      </c>
      <c r="M152" s="21">
        <v>8</v>
      </c>
      <c r="N152" s="21">
        <v>20</v>
      </c>
      <c r="O152" s="21">
        <v>28</v>
      </c>
      <c r="P152" s="21">
        <v>0</v>
      </c>
      <c r="Q152" s="21"/>
      <c r="R152" s="20">
        <f t="shared" si="16"/>
        <v>180</v>
      </c>
      <c r="S152" s="22">
        <f t="shared" si="17"/>
        <v>450030</v>
      </c>
      <c r="T152" s="22">
        <f>COUNTIF($V$4:V152,V152)</f>
        <v>2</v>
      </c>
      <c r="U152" s="22" t="str">
        <f>IF(T152=1,COUNTIF($T$4:T152,1),"")</f>
        <v/>
      </c>
      <c r="V152" s="23" t="str">
        <f t="shared" si="18"/>
        <v>厚別区03認定こども園</v>
      </c>
      <c r="W152" s="23" t="str">
        <f t="shared" si="19"/>
        <v>認定こども園いちい幼稚園・保育園</v>
      </c>
      <c r="X152" s="24">
        <v>148</v>
      </c>
      <c r="Y152" s="23"/>
    </row>
    <row r="153" spans="1:256" ht="11.25" customHeight="1" outlineLevel="1">
      <c r="A153" s="16">
        <v>450031</v>
      </c>
      <c r="B153" s="20" t="s">
        <v>199</v>
      </c>
      <c r="C153" s="20" t="s">
        <v>531</v>
      </c>
      <c r="D153" s="20" t="s">
        <v>1069</v>
      </c>
      <c r="E153" s="20" t="s">
        <v>216</v>
      </c>
      <c r="F153" s="21" t="s">
        <v>1125</v>
      </c>
      <c r="G153" s="21">
        <v>270</v>
      </c>
      <c r="H153" s="21">
        <v>33</v>
      </c>
      <c r="I153" s="21">
        <v>27</v>
      </c>
      <c r="J153" s="42">
        <v>330</v>
      </c>
      <c r="K153" s="21">
        <v>270</v>
      </c>
      <c r="L153" s="21">
        <v>33</v>
      </c>
      <c r="M153" s="21">
        <v>6</v>
      </c>
      <c r="N153" s="21">
        <v>21</v>
      </c>
      <c r="O153" s="21">
        <v>27</v>
      </c>
      <c r="P153" s="21">
        <v>0</v>
      </c>
      <c r="Q153" s="21"/>
      <c r="R153" s="20">
        <f t="shared" si="16"/>
        <v>330</v>
      </c>
      <c r="S153" s="22">
        <f t="shared" si="17"/>
        <v>450031</v>
      </c>
      <c r="T153" s="22">
        <f>COUNTIF($V$4:V153,V153)</f>
        <v>3</v>
      </c>
      <c r="U153" s="22" t="str">
        <f>IF(T153=1,COUNTIF($T$4:T153,1),"")</f>
        <v/>
      </c>
      <c r="V153" s="23" t="str">
        <f t="shared" si="18"/>
        <v>厚別区03認定こども園</v>
      </c>
      <c r="W153" s="23" t="str">
        <f t="shared" si="19"/>
        <v>認定こども園新さっぽろ幼稚園・保育園</v>
      </c>
      <c r="X153" s="24">
        <v>149</v>
      </c>
      <c r="Y153" s="23"/>
    </row>
    <row r="154" spans="1:256" s="23" customFormat="1" ht="11.25" customHeight="1" outlineLevel="1">
      <c r="A154" s="16">
        <v>450032</v>
      </c>
      <c r="B154" s="20" t="s">
        <v>199</v>
      </c>
      <c r="C154" s="20" t="s">
        <v>531</v>
      </c>
      <c r="D154" s="20" t="s">
        <v>1069</v>
      </c>
      <c r="E154" s="20" t="s">
        <v>216</v>
      </c>
      <c r="F154" s="21" t="s">
        <v>217</v>
      </c>
      <c r="G154" s="21">
        <v>15</v>
      </c>
      <c r="H154" s="21">
        <v>65</v>
      </c>
      <c r="I154" s="21">
        <v>45</v>
      </c>
      <c r="J154" s="42">
        <v>125</v>
      </c>
      <c r="K154" s="21">
        <v>15</v>
      </c>
      <c r="L154" s="21">
        <v>65</v>
      </c>
      <c r="M154" s="21">
        <v>10</v>
      </c>
      <c r="N154" s="21">
        <v>35</v>
      </c>
      <c r="O154" s="21">
        <v>45</v>
      </c>
      <c r="P154" s="21">
        <v>0</v>
      </c>
      <c r="Q154" s="21"/>
      <c r="R154" s="20">
        <f t="shared" si="16"/>
        <v>125</v>
      </c>
      <c r="S154" s="22">
        <f t="shared" si="17"/>
        <v>450032</v>
      </c>
      <c r="T154" s="22">
        <f>COUNTIF($V$4:V154,V154)</f>
        <v>4</v>
      </c>
      <c r="U154" s="22" t="str">
        <f>IF(T154=1,COUNTIF($T$4:T154,1),"")</f>
        <v/>
      </c>
      <c r="V154" s="23" t="str">
        <f t="shared" si="18"/>
        <v>厚別区03認定こども園</v>
      </c>
      <c r="W154" s="23" t="str">
        <f t="shared" si="19"/>
        <v>認定こども園おおやち</v>
      </c>
      <c r="X154" s="24">
        <v>150</v>
      </c>
      <c r="Z154" s="9"/>
      <c r="AA154" s="9"/>
      <c r="AB154" s="9"/>
      <c r="AC154" s="9"/>
      <c r="AD154" s="9"/>
      <c r="AE154" s="9"/>
      <c r="AF154" s="9"/>
      <c r="AG154" s="9"/>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row>
    <row r="155" spans="1:256" ht="11.25" customHeight="1" outlineLevel="1">
      <c r="A155" s="16">
        <v>450035</v>
      </c>
      <c r="B155" s="20" t="s">
        <v>199</v>
      </c>
      <c r="C155" s="20" t="s">
        <v>531</v>
      </c>
      <c r="D155" s="20" t="s">
        <v>1078</v>
      </c>
      <c r="E155" s="20" t="s">
        <v>216</v>
      </c>
      <c r="F155" s="21" t="s">
        <v>1446</v>
      </c>
      <c r="G155" s="21">
        <v>57</v>
      </c>
      <c r="H155" s="21">
        <v>21</v>
      </c>
      <c r="I155" s="21">
        <v>12</v>
      </c>
      <c r="J155" s="42">
        <v>90</v>
      </c>
      <c r="K155" s="21">
        <v>57</v>
      </c>
      <c r="L155" s="21">
        <v>21</v>
      </c>
      <c r="M155" s="21">
        <v>3</v>
      </c>
      <c r="N155" s="21">
        <v>9</v>
      </c>
      <c r="O155" s="21">
        <v>12</v>
      </c>
      <c r="P155" s="21">
        <v>0</v>
      </c>
      <c r="Q155" s="21"/>
      <c r="R155" s="20">
        <f t="shared" si="16"/>
        <v>90</v>
      </c>
      <c r="S155" s="22">
        <f t="shared" si="17"/>
        <v>450035</v>
      </c>
      <c r="T155" s="22">
        <f>COUNTIF($V$4:V155,V155)</f>
        <v>5</v>
      </c>
      <c r="U155" s="22" t="str">
        <f>IF(T155=1,COUNTIF($T$4:T155,1),"")</f>
        <v/>
      </c>
      <c r="V155" s="23" t="str">
        <f t="shared" si="18"/>
        <v>厚別区03認定こども園</v>
      </c>
      <c r="W155" s="23" t="str">
        <f t="shared" si="19"/>
        <v>認定こども園北光幼稚園</v>
      </c>
      <c r="X155" s="24">
        <v>151</v>
      </c>
      <c r="Y155" s="23"/>
      <c r="Z155" s="23"/>
      <c r="AA155" s="23"/>
      <c r="AB155" s="23"/>
      <c r="AC155" s="23"/>
      <c r="AD155" s="23"/>
      <c r="AE155" s="23"/>
      <c r="AF155" s="23"/>
      <c r="AG155" s="23"/>
    </row>
    <row r="156" spans="1:256" ht="11.25" customHeight="1" outlineLevel="1">
      <c r="A156" s="16">
        <v>450038</v>
      </c>
      <c r="B156" s="20" t="s">
        <v>199</v>
      </c>
      <c r="C156" s="20" t="s">
        <v>531</v>
      </c>
      <c r="D156" s="20" t="s">
        <v>1069</v>
      </c>
      <c r="E156" s="20" t="s">
        <v>216</v>
      </c>
      <c r="F156" s="21" t="s">
        <v>1126</v>
      </c>
      <c r="G156" s="21">
        <v>70</v>
      </c>
      <c r="H156" s="21">
        <v>36</v>
      </c>
      <c r="I156" s="21">
        <v>24</v>
      </c>
      <c r="J156" s="42">
        <v>130</v>
      </c>
      <c r="K156" s="21">
        <v>70</v>
      </c>
      <c r="L156" s="21">
        <v>36</v>
      </c>
      <c r="M156" s="21">
        <v>6</v>
      </c>
      <c r="N156" s="21">
        <v>18</v>
      </c>
      <c r="O156" s="21">
        <v>24</v>
      </c>
      <c r="P156" s="21">
        <v>0</v>
      </c>
      <c r="Q156" s="21"/>
      <c r="R156" s="20">
        <f t="shared" si="16"/>
        <v>130</v>
      </c>
      <c r="S156" s="22">
        <f t="shared" si="17"/>
        <v>450038</v>
      </c>
      <c r="T156" s="22">
        <f>COUNTIF($V$4:V156,V156)</f>
        <v>6</v>
      </c>
      <c r="U156" s="22" t="str">
        <f>IF(T156=1,COUNTIF($T$4:T156,1),"")</f>
        <v/>
      </c>
      <c r="V156" s="23" t="str">
        <f t="shared" si="18"/>
        <v>厚別区03認定こども園</v>
      </c>
      <c r="W156" s="23" t="str">
        <f t="shared" si="19"/>
        <v>幼保連携型認定こども園ひばりが丘明星幼稚園</v>
      </c>
      <c r="X156" s="24">
        <v>152</v>
      </c>
      <c r="Y156" s="23"/>
    </row>
    <row r="157" spans="1:256" ht="11.25" customHeight="1" outlineLevel="1">
      <c r="A157" s="16">
        <v>450039</v>
      </c>
      <c r="B157" s="20" t="s">
        <v>199</v>
      </c>
      <c r="C157" s="20" t="s">
        <v>531</v>
      </c>
      <c r="D157" s="20" t="s">
        <v>1069</v>
      </c>
      <c r="E157" s="20" t="s">
        <v>216</v>
      </c>
      <c r="F157" s="21" t="s">
        <v>1127</v>
      </c>
      <c r="G157" s="21">
        <v>200</v>
      </c>
      <c r="H157" s="21">
        <v>32</v>
      </c>
      <c r="I157" s="21">
        <v>28</v>
      </c>
      <c r="J157" s="42">
        <v>260</v>
      </c>
      <c r="K157" s="21">
        <v>170</v>
      </c>
      <c r="L157" s="21">
        <v>32</v>
      </c>
      <c r="M157" s="21">
        <v>8</v>
      </c>
      <c r="N157" s="21">
        <v>20</v>
      </c>
      <c r="O157" s="21">
        <v>28</v>
      </c>
      <c r="P157" s="21">
        <v>0</v>
      </c>
      <c r="Q157" s="21"/>
      <c r="R157" s="20">
        <f t="shared" si="16"/>
        <v>230</v>
      </c>
      <c r="S157" s="22">
        <f t="shared" si="17"/>
        <v>450039</v>
      </c>
      <c r="T157" s="22">
        <f>COUNTIF($V$4:V157,V157)</f>
        <v>7</v>
      </c>
      <c r="U157" s="22" t="str">
        <f>IF(T157=1,COUNTIF($T$4:T157,1),"")</f>
        <v/>
      </c>
      <c r="V157" s="23" t="str">
        <f t="shared" si="18"/>
        <v>厚別区03認定こども園</v>
      </c>
      <c r="W157" s="23" t="str">
        <f t="shared" si="19"/>
        <v>認定こども園桜台いちい幼稚園・保育園</v>
      </c>
      <c r="X157" s="24">
        <v>153</v>
      </c>
      <c r="Y157" s="23"/>
    </row>
    <row r="158" spans="1:256" ht="11.25" customHeight="1" outlineLevel="1">
      <c r="A158" s="16">
        <v>450047</v>
      </c>
      <c r="B158" s="20" t="s">
        <v>199</v>
      </c>
      <c r="C158" s="20" t="s">
        <v>531</v>
      </c>
      <c r="D158" s="20" t="s">
        <v>1069</v>
      </c>
      <c r="E158" s="20" t="s">
        <v>216</v>
      </c>
      <c r="F158" s="21" t="s">
        <v>1130</v>
      </c>
      <c r="G158" s="21">
        <v>54</v>
      </c>
      <c r="H158" s="21">
        <v>24</v>
      </c>
      <c r="I158" s="21">
        <v>22</v>
      </c>
      <c r="J158" s="42">
        <v>100</v>
      </c>
      <c r="K158" s="21">
        <v>54</v>
      </c>
      <c r="L158" s="21">
        <v>24</v>
      </c>
      <c r="M158" s="21">
        <v>6</v>
      </c>
      <c r="N158" s="21">
        <v>16</v>
      </c>
      <c r="O158" s="21">
        <v>22</v>
      </c>
      <c r="P158" s="21">
        <v>0</v>
      </c>
      <c r="Q158" s="21"/>
      <c r="R158" s="20">
        <f t="shared" si="16"/>
        <v>100</v>
      </c>
      <c r="S158" s="22">
        <f t="shared" si="17"/>
        <v>450047</v>
      </c>
      <c r="T158" s="22">
        <f>COUNTIF($V$4:V158,V158)</f>
        <v>8</v>
      </c>
      <c r="U158" s="22" t="str">
        <f>IF(T158=1,COUNTIF($T$4:T158,1),"")</f>
        <v/>
      </c>
      <c r="V158" s="23" t="str">
        <f t="shared" si="18"/>
        <v>厚別区03認定こども園</v>
      </c>
      <c r="W158" s="23" t="str">
        <f t="shared" si="19"/>
        <v>認定こども園第２あつべつ幼稚園</v>
      </c>
      <c r="X158" s="24">
        <v>154</v>
      </c>
      <c r="Y158" s="23"/>
    </row>
    <row r="159" spans="1:256" ht="11.25" customHeight="1" outlineLevel="1">
      <c r="A159" s="16">
        <v>450037</v>
      </c>
      <c r="B159" s="20" t="s">
        <v>199</v>
      </c>
      <c r="C159" s="20" t="s">
        <v>531</v>
      </c>
      <c r="D159" s="20" t="s">
        <v>1072</v>
      </c>
      <c r="E159" s="20" t="s">
        <v>216</v>
      </c>
      <c r="F159" s="21" t="s">
        <v>1447</v>
      </c>
      <c r="G159" s="21">
        <v>60</v>
      </c>
      <c r="H159" s="21">
        <v>20</v>
      </c>
      <c r="I159" s="21">
        <v>0</v>
      </c>
      <c r="J159" s="42">
        <v>80</v>
      </c>
      <c r="K159" s="21">
        <v>60</v>
      </c>
      <c r="L159" s="21">
        <v>20</v>
      </c>
      <c r="M159" s="21">
        <v>0</v>
      </c>
      <c r="N159" s="21">
        <v>0</v>
      </c>
      <c r="O159" s="21">
        <v>0</v>
      </c>
      <c r="P159" s="21">
        <v>0</v>
      </c>
      <c r="Q159" s="21"/>
      <c r="R159" s="20">
        <f t="shared" si="16"/>
        <v>80</v>
      </c>
      <c r="S159" s="22">
        <f t="shared" si="17"/>
        <v>450037</v>
      </c>
      <c r="T159" s="22">
        <f>COUNTIF($V$4:V159,V159)</f>
        <v>9</v>
      </c>
      <c r="U159" s="22" t="str">
        <f>IF(T159=1,COUNTIF($T$4:T159,1),"")</f>
        <v/>
      </c>
      <c r="V159" s="23" t="str">
        <f t="shared" si="18"/>
        <v>厚別区03認定こども園</v>
      </c>
      <c r="W159" s="23" t="str">
        <f t="shared" si="19"/>
        <v>認定こども園虹の森カトリック幼稚園</v>
      </c>
      <c r="X159" s="24">
        <v>155</v>
      </c>
      <c r="Y159" s="23"/>
    </row>
    <row r="160" spans="1:256" ht="11.25" customHeight="1" outlineLevel="1">
      <c r="A160" s="16">
        <v>450044</v>
      </c>
      <c r="B160" s="20" t="s">
        <v>199</v>
      </c>
      <c r="C160" s="20" t="s">
        <v>531</v>
      </c>
      <c r="D160" s="20" t="s">
        <v>1072</v>
      </c>
      <c r="E160" s="20" t="s">
        <v>216</v>
      </c>
      <c r="F160" s="21" t="s">
        <v>1128</v>
      </c>
      <c r="G160" s="21">
        <v>200</v>
      </c>
      <c r="H160" s="21">
        <v>30</v>
      </c>
      <c r="I160" s="21">
        <v>0</v>
      </c>
      <c r="J160" s="42">
        <v>230</v>
      </c>
      <c r="K160" s="21">
        <v>150</v>
      </c>
      <c r="L160" s="21">
        <v>30</v>
      </c>
      <c r="M160" s="21">
        <v>0</v>
      </c>
      <c r="N160" s="21">
        <v>0</v>
      </c>
      <c r="O160" s="21">
        <v>0</v>
      </c>
      <c r="P160" s="21">
        <v>0</v>
      </c>
      <c r="Q160" s="21"/>
      <c r="R160" s="20">
        <f t="shared" si="16"/>
        <v>180</v>
      </c>
      <c r="S160" s="22">
        <f t="shared" si="17"/>
        <v>450044</v>
      </c>
      <c r="T160" s="22">
        <f>COUNTIF($V$4:V160,V160)</f>
        <v>10</v>
      </c>
      <c r="U160" s="22" t="str">
        <f>IF(T160=1,COUNTIF($T$4:T160,1),"")</f>
        <v/>
      </c>
      <c r="V160" s="23" t="str">
        <f t="shared" si="18"/>
        <v>厚別区03認定こども園</v>
      </c>
      <c r="W160" s="23" t="str">
        <f t="shared" si="19"/>
        <v>認定こども園もみじ台幼稚園</v>
      </c>
      <c r="X160" s="24">
        <v>156</v>
      </c>
      <c r="Y160" s="23"/>
    </row>
    <row r="161" spans="1:256" ht="11.25" customHeight="1" outlineLevel="1">
      <c r="A161" s="16">
        <v>450046</v>
      </c>
      <c r="B161" s="20" t="s">
        <v>199</v>
      </c>
      <c r="C161" s="20" t="s">
        <v>531</v>
      </c>
      <c r="D161" s="20" t="s">
        <v>1072</v>
      </c>
      <c r="E161" s="20" t="s">
        <v>216</v>
      </c>
      <c r="F161" s="21" t="s">
        <v>1129</v>
      </c>
      <c r="G161" s="21">
        <v>160</v>
      </c>
      <c r="H161" s="21">
        <v>20</v>
      </c>
      <c r="I161" s="21">
        <v>0</v>
      </c>
      <c r="J161" s="42">
        <v>180</v>
      </c>
      <c r="K161" s="21">
        <v>45</v>
      </c>
      <c r="L161" s="21">
        <v>20</v>
      </c>
      <c r="M161" s="21">
        <v>0</v>
      </c>
      <c r="N161" s="21">
        <v>0</v>
      </c>
      <c r="O161" s="21">
        <v>0</v>
      </c>
      <c r="P161" s="21">
        <v>0</v>
      </c>
      <c r="Q161" s="21"/>
      <c r="R161" s="20">
        <f t="shared" si="16"/>
        <v>65</v>
      </c>
      <c r="S161" s="22">
        <f t="shared" si="17"/>
        <v>450046</v>
      </c>
      <c r="T161" s="22">
        <f>COUNTIF($V$4:V161,V161)</f>
        <v>11</v>
      </c>
      <c r="U161" s="22" t="str">
        <f>IF(T161=1,COUNTIF($T$4:T161,1),"")</f>
        <v/>
      </c>
      <c r="V161" s="23" t="str">
        <f t="shared" si="18"/>
        <v>厚別区03認定こども園</v>
      </c>
      <c r="W161" s="23" t="str">
        <f t="shared" si="19"/>
        <v>認定こども園札幌あおば幼稚園</v>
      </c>
      <c r="X161" s="24">
        <v>157</v>
      </c>
      <c r="Y161" s="23"/>
    </row>
    <row r="162" spans="1:256" ht="11.25" customHeight="1" outlineLevel="1">
      <c r="A162" s="16">
        <v>450003</v>
      </c>
      <c r="B162" s="20" t="s">
        <v>199</v>
      </c>
      <c r="C162" s="20" t="s">
        <v>531</v>
      </c>
      <c r="D162" s="20" t="s">
        <v>1284</v>
      </c>
      <c r="E162" s="20" t="s">
        <v>216</v>
      </c>
      <c r="F162" s="21" t="s">
        <v>1560</v>
      </c>
      <c r="G162" s="21">
        <v>14</v>
      </c>
      <c r="H162" s="21">
        <v>78</v>
      </c>
      <c r="I162" s="21">
        <v>62</v>
      </c>
      <c r="J162" s="42">
        <v>154</v>
      </c>
      <c r="K162" s="21">
        <v>14</v>
      </c>
      <c r="L162" s="21">
        <v>78</v>
      </c>
      <c r="M162" s="21">
        <v>12</v>
      </c>
      <c r="N162" s="21">
        <v>50</v>
      </c>
      <c r="O162" s="21">
        <v>62</v>
      </c>
      <c r="P162" s="21">
        <v>0</v>
      </c>
      <c r="Q162" s="21"/>
      <c r="R162" s="20">
        <f t="shared" si="16"/>
        <v>154</v>
      </c>
      <c r="S162" s="22">
        <f t="shared" si="17"/>
        <v>450003</v>
      </c>
      <c r="T162" s="22">
        <f>COUNTIF($V$4:V162,V162)</f>
        <v>12</v>
      </c>
      <c r="U162" s="22" t="str">
        <f>IF(T162=1,COUNTIF($T$4:T162,1),"")</f>
        <v/>
      </c>
      <c r="V162" s="23" t="str">
        <f t="shared" si="18"/>
        <v>厚別区03認定こども園</v>
      </c>
      <c r="W162" s="23" t="str">
        <f t="shared" si="19"/>
        <v>青葉興正こども園</v>
      </c>
      <c r="X162" s="24">
        <v>158</v>
      </c>
      <c r="Y162" s="23"/>
    </row>
    <row r="163" spans="1:256" ht="11.25" customHeight="1" outlineLevel="1">
      <c r="A163" s="16">
        <v>450010</v>
      </c>
      <c r="B163" s="20" t="s">
        <v>199</v>
      </c>
      <c r="C163" s="20" t="s">
        <v>531</v>
      </c>
      <c r="D163" s="20" t="s">
        <v>1284</v>
      </c>
      <c r="E163" s="20" t="s">
        <v>216</v>
      </c>
      <c r="F163" s="21" t="s">
        <v>1308</v>
      </c>
      <c r="G163" s="21">
        <v>10</v>
      </c>
      <c r="H163" s="21">
        <v>54</v>
      </c>
      <c r="I163" s="21">
        <v>36</v>
      </c>
      <c r="J163" s="42">
        <v>100</v>
      </c>
      <c r="K163" s="21">
        <v>10</v>
      </c>
      <c r="L163" s="21">
        <v>54</v>
      </c>
      <c r="M163" s="21">
        <v>9</v>
      </c>
      <c r="N163" s="21">
        <v>27</v>
      </c>
      <c r="O163" s="21">
        <v>36</v>
      </c>
      <c r="P163" s="21">
        <v>0</v>
      </c>
      <c r="Q163" s="21"/>
      <c r="R163" s="20">
        <f t="shared" si="16"/>
        <v>100</v>
      </c>
      <c r="S163" s="22">
        <f t="shared" si="17"/>
        <v>450010</v>
      </c>
      <c r="T163" s="22">
        <f>COUNTIF($V$4:V163,V163)</f>
        <v>13</v>
      </c>
      <c r="U163" s="22" t="str">
        <f>IF(T163=1,COUNTIF($T$4:T163,1),"")</f>
        <v/>
      </c>
      <c r="V163" s="23" t="str">
        <f t="shared" si="18"/>
        <v>厚別区03認定こども園</v>
      </c>
      <c r="W163" s="23" t="str">
        <f t="shared" si="19"/>
        <v>厚別西認定こども園</v>
      </c>
      <c r="X163" s="24">
        <v>159</v>
      </c>
      <c r="Y163" s="23"/>
    </row>
    <row r="164" spans="1:256" ht="11.25" customHeight="1" outlineLevel="1">
      <c r="A164" s="16">
        <v>450011</v>
      </c>
      <c r="B164" s="20" t="s">
        <v>199</v>
      </c>
      <c r="C164" s="20" t="s">
        <v>531</v>
      </c>
      <c r="D164" s="20" t="s">
        <v>1284</v>
      </c>
      <c r="E164" s="20" t="s">
        <v>216</v>
      </c>
      <c r="F164" s="21" t="s">
        <v>1309</v>
      </c>
      <c r="G164" s="21">
        <v>10</v>
      </c>
      <c r="H164" s="21">
        <v>33</v>
      </c>
      <c r="I164" s="21">
        <v>27</v>
      </c>
      <c r="J164" s="42">
        <v>70</v>
      </c>
      <c r="K164" s="21">
        <v>10</v>
      </c>
      <c r="L164" s="21">
        <v>33</v>
      </c>
      <c r="M164" s="21">
        <v>6</v>
      </c>
      <c r="N164" s="21">
        <v>21</v>
      </c>
      <c r="O164" s="21">
        <v>27</v>
      </c>
      <c r="P164" s="21">
        <v>0</v>
      </c>
      <c r="Q164" s="21"/>
      <c r="R164" s="20">
        <f t="shared" si="16"/>
        <v>70</v>
      </c>
      <c r="S164" s="22">
        <f t="shared" si="17"/>
        <v>450011</v>
      </c>
      <c r="T164" s="22">
        <f>COUNTIF($V$4:V164,V164)</f>
        <v>14</v>
      </c>
      <c r="U164" s="22" t="str">
        <f>IF(T164=1,COUNTIF($T$4:T164,1),"")</f>
        <v/>
      </c>
      <c r="V164" s="23" t="str">
        <f t="shared" si="18"/>
        <v>厚別区03認定こども園</v>
      </c>
      <c r="W164" s="23" t="str">
        <f t="shared" si="19"/>
        <v>認定こども園札幌わんぱく館</v>
      </c>
      <c r="X164" s="24">
        <v>160</v>
      </c>
      <c r="Y164" s="23"/>
    </row>
    <row r="165" spans="1:256" ht="11.25" customHeight="1" outlineLevel="1">
      <c r="A165" s="16">
        <v>450013</v>
      </c>
      <c r="B165" s="20" t="s">
        <v>199</v>
      </c>
      <c r="C165" s="20" t="s">
        <v>531</v>
      </c>
      <c r="D165" s="20" t="s">
        <v>1067</v>
      </c>
      <c r="E165" s="20" t="s">
        <v>216</v>
      </c>
      <c r="F165" s="21" t="s">
        <v>1448</v>
      </c>
      <c r="G165" s="21">
        <v>9</v>
      </c>
      <c r="H165" s="21">
        <v>34</v>
      </c>
      <c r="I165" s="21">
        <v>26</v>
      </c>
      <c r="J165" s="42">
        <v>69</v>
      </c>
      <c r="K165" s="21">
        <v>9</v>
      </c>
      <c r="L165" s="21">
        <v>34</v>
      </c>
      <c r="M165" s="21">
        <v>6</v>
      </c>
      <c r="N165" s="21">
        <v>20</v>
      </c>
      <c r="O165" s="21">
        <v>26</v>
      </c>
      <c r="P165" s="21">
        <v>0</v>
      </c>
      <c r="Q165" s="21"/>
      <c r="R165" s="20">
        <f t="shared" si="16"/>
        <v>69</v>
      </c>
      <c r="S165" s="22">
        <f t="shared" si="17"/>
        <v>450013</v>
      </c>
      <c r="T165" s="22">
        <f>COUNTIF($V$4:V165,V165)</f>
        <v>15</v>
      </c>
      <c r="U165" s="22" t="str">
        <f>IF(T165=1,COUNTIF($T$4:T165,1),"")</f>
        <v/>
      </c>
      <c r="V165" s="23" t="str">
        <f t="shared" si="18"/>
        <v>厚別区03認定こども園</v>
      </c>
      <c r="W165" s="23" t="str">
        <f t="shared" si="19"/>
        <v>厚別もえぎこども園</v>
      </c>
      <c r="X165" s="24">
        <v>161</v>
      </c>
      <c r="Y165" s="23"/>
    </row>
    <row r="166" spans="1:256" ht="11.25" customHeight="1" outlineLevel="1">
      <c r="A166" s="16">
        <v>450048</v>
      </c>
      <c r="B166" s="20" t="s">
        <v>199</v>
      </c>
      <c r="C166" s="20" t="s">
        <v>531</v>
      </c>
      <c r="D166" s="20" t="s">
        <v>1284</v>
      </c>
      <c r="E166" s="20" t="s">
        <v>216</v>
      </c>
      <c r="F166" s="21" t="s">
        <v>1310</v>
      </c>
      <c r="G166" s="21">
        <v>6</v>
      </c>
      <c r="H166" s="21">
        <v>22</v>
      </c>
      <c r="I166" s="21">
        <v>18</v>
      </c>
      <c r="J166" s="42">
        <v>46</v>
      </c>
      <c r="K166" s="21">
        <v>6</v>
      </c>
      <c r="L166" s="21">
        <v>16</v>
      </c>
      <c r="M166" s="21">
        <v>4</v>
      </c>
      <c r="N166" s="21">
        <v>10</v>
      </c>
      <c r="O166" s="21">
        <v>14</v>
      </c>
      <c r="P166" s="21">
        <v>0</v>
      </c>
      <c r="Q166" s="21"/>
      <c r="R166" s="20">
        <f t="shared" si="16"/>
        <v>36</v>
      </c>
      <c r="S166" s="22">
        <f t="shared" si="17"/>
        <v>450048</v>
      </c>
      <c r="T166" s="22">
        <f>COUNTIF($V$4:V166,V166)</f>
        <v>16</v>
      </c>
      <c r="U166" s="22" t="str">
        <f>IF(T166=1,COUNTIF($T$4:T166,1),"")</f>
        <v/>
      </c>
      <c r="V166" s="23" t="str">
        <f t="shared" si="18"/>
        <v>厚別区03認定こども園</v>
      </c>
      <c r="W166" s="23" t="str">
        <f t="shared" si="19"/>
        <v>ひばりが丘あすなろ認定こども園</v>
      </c>
      <c r="X166" s="24">
        <v>162</v>
      </c>
      <c r="Y166" s="23"/>
    </row>
    <row r="167" spans="1:256" ht="11.25" customHeight="1" outlineLevel="1">
      <c r="A167" s="16">
        <v>450052</v>
      </c>
      <c r="B167" s="20" t="s">
        <v>199</v>
      </c>
      <c r="C167" s="20" t="s">
        <v>531</v>
      </c>
      <c r="D167" s="20" t="s">
        <v>1284</v>
      </c>
      <c r="E167" s="20" t="s">
        <v>216</v>
      </c>
      <c r="F167" s="21" t="s">
        <v>1660</v>
      </c>
      <c r="G167" s="21">
        <v>4</v>
      </c>
      <c r="H167" s="21">
        <v>24</v>
      </c>
      <c r="I167" s="21">
        <v>16</v>
      </c>
      <c r="J167" s="42">
        <v>44</v>
      </c>
      <c r="K167" s="21">
        <v>4</v>
      </c>
      <c r="L167" s="21">
        <v>24</v>
      </c>
      <c r="M167" s="21">
        <v>2</v>
      </c>
      <c r="N167" s="21">
        <v>14</v>
      </c>
      <c r="O167" s="21">
        <v>16</v>
      </c>
      <c r="P167" s="21">
        <v>0</v>
      </c>
      <c r="Q167" s="21"/>
      <c r="R167" s="20">
        <f t="shared" si="16"/>
        <v>44</v>
      </c>
      <c r="S167" s="22">
        <f t="shared" si="17"/>
        <v>450052</v>
      </c>
      <c r="T167" s="22">
        <f>COUNTIF($V$4:V167,V167)</f>
        <v>17</v>
      </c>
      <c r="U167" s="22" t="str">
        <f>IF(T167=1,COUNTIF($T$4:T167,1),"")</f>
        <v/>
      </c>
      <c r="V167" s="23" t="str">
        <f t="shared" si="18"/>
        <v>厚別区03認定こども園</v>
      </c>
      <c r="W167" s="23" t="str">
        <f t="shared" si="19"/>
        <v>認定こども園きっずぱーく厚別保育園</v>
      </c>
      <c r="X167" s="24">
        <v>163</v>
      </c>
      <c r="Y167" s="23"/>
    </row>
    <row r="168" spans="1:256" s="23" customFormat="1" ht="11.25" customHeight="1" outlineLevel="1">
      <c r="A168" s="16">
        <v>500009</v>
      </c>
      <c r="B168" s="20" t="s">
        <v>199</v>
      </c>
      <c r="C168" s="20" t="s">
        <v>531</v>
      </c>
      <c r="D168" s="20" t="s">
        <v>1069</v>
      </c>
      <c r="E168" s="20" t="s">
        <v>218</v>
      </c>
      <c r="F168" s="21" t="s">
        <v>1131</v>
      </c>
      <c r="G168" s="21">
        <v>15</v>
      </c>
      <c r="H168" s="21">
        <v>75</v>
      </c>
      <c r="I168" s="21">
        <v>55</v>
      </c>
      <c r="J168" s="42">
        <v>145</v>
      </c>
      <c r="K168" s="21">
        <v>15</v>
      </c>
      <c r="L168" s="21">
        <v>75</v>
      </c>
      <c r="M168" s="21">
        <v>15</v>
      </c>
      <c r="N168" s="21">
        <v>40</v>
      </c>
      <c r="O168" s="21">
        <v>55</v>
      </c>
      <c r="P168" s="21">
        <v>0</v>
      </c>
      <c r="Q168" s="21"/>
      <c r="R168" s="20">
        <f t="shared" si="16"/>
        <v>145</v>
      </c>
      <c r="S168" s="22">
        <f t="shared" si="17"/>
        <v>500009</v>
      </c>
      <c r="T168" s="22">
        <f>COUNTIF($V$4:V168,V168)</f>
        <v>1</v>
      </c>
      <c r="U168" s="22">
        <f>IF(T168=1,COUNTIF($T$4:T168,1),"")</f>
        <v>6</v>
      </c>
      <c r="V168" s="23" t="str">
        <f t="shared" si="18"/>
        <v>豊平区03認定こども園</v>
      </c>
      <c r="W168" s="23" t="str">
        <f t="shared" si="19"/>
        <v>さっぽろこども園</v>
      </c>
      <c r="X168" s="24">
        <v>164</v>
      </c>
      <c r="Z168" s="9"/>
      <c r="AA168" s="9"/>
      <c r="AB168" s="9"/>
      <c r="AC168" s="9"/>
      <c r="AD168" s="9"/>
      <c r="AE168" s="9"/>
      <c r="AF168" s="9"/>
      <c r="AG168" s="9"/>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row>
    <row r="169" spans="1:256" ht="11.25" customHeight="1" outlineLevel="1">
      <c r="A169" s="16">
        <v>500020</v>
      </c>
      <c r="B169" s="20" t="s">
        <v>199</v>
      </c>
      <c r="C169" s="20" t="s">
        <v>531</v>
      </c>
      <c r="D169" s="20" t="s">
        <v>1069</v>
      </c>
      <c r="E169" s="20" t="s">
        <v>218</v>
      </c>
      <c r="F169" s="21" t="s">
        <v>1132</v>
      </c>
      <c r="G169" s="21">
        <v>15</v>
      </c>
      <c r="H169" s="21">
        <v>63</v>
      </c>
      <c r="I169" s="21">
        <v>57</v>
      </c>
      <c r="J169" s="42">
        <v>135</v>
      </c>
      <c r="K169" s="21">
        <v>15</v>
      </c>
      <c r="L169" s="21">
        <v>63</v>
      </c>
      <c r="M169" s="21">
        <v>15</v>
      </c>
      <c r="N169" s="21">
        <v>42</v>
      </c>
      <c r="O169" s="21">
        <v>57</v>
      </c>
      <c r="P169" s="21">
        <v>0</v>
      </c>
      <c r="Q169" s="21"/>
      <c r="R169" s="20">
        <f t="shared" si="16"/>
        <v>135</v>
      </c>
      <c r="S169" s="22">
        <f t="shared" si="17"/>
        <v>500020</v>
      </c>
      <c r="T169" s="22">
        <f>COUNTIF($V$4:V169,V169)</f>
        <v>2</v>
      </c>
      <c r="U169" s="22" t="str">
        <f>IF(T169=1,COUNTIF($T$4:T169,1),"")</f>
        <v/>
      </c>
      <c r="V169" s="23" t="str">
        <f t="shared" si="18"/>
        <v>豊平区03認定こども園</v>
      </c>
      <c r="W169" s="23" t="str">
        <f t="shared" si="19"/>
        <v>東月寒にれこども園</v>
      </c>
      <c r="X169" s="24">
        <v>165</v>
      </c>
      <c r="Y169" s="23"/>
      <c r="Z169" s="23"/>
      <c r="AA169" s="23"/>
      <c r="AB169" s="23"/>
      <c r="AC169" s="23"/>
      <c r="AD169" s="23"/>
      <c r="AE169" s="23"/>
      <c r="AF169" s="23"/>
      <c r="AG169" s="23"/>
    </row>
    <row r="170" spans="1:256" outlineLevel="1">
      <c r="A170" s="16">
        <v>500022</v>
      </c>
      <c r="B170" s="20" t="s">
        <v>199</v>
      </c>
      <c r="C170" s="20" t="s">
        <v>531</v>
      </c>
      <c r="D170" s="20" t="s">
        <v>1069</v>
      </c>
      <c r="E170" s="20" t="s">
        <v>218</v>
      </c>
      <c r="F170" s="21" t="s">
        <v>1133</v>
      </c>
      <c r="G170" s="21">
        <v>15</v>
      </c>
      <c r="H170" s="21">
        <v>63</v>
      </c>
      <c r="I170" s="21">
        <v>57</v>
      </c>
      <c r="J170" s="42">
        <v>135</v>
      </c>
      <c r="K170" s="21">
        <v>15</v>
      </c>
      <c r="L170" s="21">
        <v>63</v>
      </c>
      <c r="M170" s="21">
        <v>15</v>
      </c>
      <c r="N170" s="21">
        <v>42</v>
      </c>
      <c r="O170" s="21">
        <v>57</v>
      </c>
      <c r="P170" s="21">
        <v>0</v>
      </c>
      <c r="Q170" s="21"/>
      <c r="R170" s="20">
        <f t="shared" si="16"/>
        <v>135</v>
      </c>
      <c r="S170" s="22">
        <f t="shared" si="17"/>
        <v>500022</v>
      </c>
      <c r="T170" s="22">
        <f>COUNTIF($V$4:V170,V170)</f>
        <v>3</v>
      </c>
      <c r="U170" s="22" t="str">
        <f>IF(T170=1,COUNTIF($T$4:T170,1),"")</f>
        <v/>
      </c>
      <c r="V170" s="23" t="str">
        <f t="shared" si="18"/>
        <v>豊平区03認定こども園</v>
      </c>
      <c r="W170" s="23" t="str">
        <f t="shared" si="19"/>
        <v>にれ第２こども園</v>
      </c>
      <c r="X170" s="24">
        <v>166</v>
      </c>
      <c r="Y170" s="23"/>
    </row>
    <row r="171" spans="1:256" outlineLevel="1">
      <c r="A171" s="16">
        <v>500025</v>
      </c>
      <c r="B171" s="20" t="s">
        <v>199</v>
      </c>
      <c r="C171" s="20" t="s">
        <v>531</v>
      </c>
      <c r="D171" s="20" t="s">
        <v>1069</v>
      </c>
      <c r="E171" s="20" t="s">
        <v>218</v>
      </c>
      <c r="F171" s="21" t="s">
        <v>219</v>
      </c>
      <c r="G171" s="21">
        <v>15</v>
      </c>
      <c r="H171" s="21">
        <v>48</v>
      </c>
      <c r="I171" s="21">
        <v>48</v>
      </c>
      <c r="J171" s="42">
        <v>111</v>
      </c>
      <c r="K171" s="21">
        <v>15</v>
      </c>
      <c r="L171" s="21">
        <v>48</v>
      </c>
      <c r="M171" s="21">
        <v>16</v>
      </c>
      <c r="N171" s="21">
        <v>32</v>
      </c>
      <c r="O171" s="21">
        <v>48</v>
      </c>
      <c r="P171" s="21">
        <v>0</v>
      </c>
      <c r="Q171" s="21"/>
      <c r="R171" s="20">
        <f t="shared" si="16"/>
        <v>111</v>
      </c>
      <c r="S171" s="22">
        <f t="shared" si="17"/>
        <v>500025</v>
      </c>
      <c r="T171" s="22">
        <f>COUNTIF($V$4:V171,V171)</f>
        <v>4</v>
      </c>
      <c r="U171" s="22" t="str">
        <f>IF(T171=1,COUNTIF($T$4:T171,1),"")</f>
        <v/>
      </c>
      <c r="V171" s="23" t="str">
        <f t="shared" si="18"/>
        <v>豊平区03認定こども園</v>
      </c>
      <c r="W171" s="23" t="str">
        <f t="shared" si="19"/>
        <v>こども園・ひかりのこ　さっぽろ</v>
      </c>
      <c r="X171" s="24">
        <v>167</v>
      </c>
      <c r="Y171" s="23"/>
    </row>
    <row r="172" spans="1:256" outlineLevel="1">
      <c r="A172" s="16">
        <v>500041</v>
      </c>
      <c r="B172" s="20" t="s">
        <v>199</v>
      </c>
      <c r="C172" s="20" t="s">
        <v>531</v>
      </c>
      <c r="D172" s="20" t="s">
        <v>1069</v>
      </c>
      <c r="E172" s="20" t="s">
        <v>218</v>
      </c>
      <c r="F172" s="21" t="s">
        <v>220</v>
      </c>
      <c r="G172" s="21">
        <v>105</v>
      </c>
      <c r="H172" s="21">
        <v>33</v>
      </c>
      <c r="I172" s="21">
        <v>27</v>
      </c>
      <c r="J172" s="42">
        <v>165</v>
      </c>
      <c r="K172" s="21">
        <v>105</v>
      </c>
      <c r="L172" s="21">
        <v>33</v>
      </c>
      <c r="M172" s="21">
        <v>7</v>
      </c>
      <c r="N172" s="21">
        <v>20</v>
      </c>
      <c r="O172" s="21">
        <v>27</v>
      </c>
      <c r="P172" s="21">
        <v>0</v>
      </c>
      <c r="Q172" s="21"/>
      <c r="R172" s="20">
        <f t="shared" si="16"/>
        <v>165</v>
      </c>
      <c r="S172" s="22">
        <f t="shared" si="17"/>
        <v>500041</v>
      </c>
      <c r="T172" s="22">
        <f>COUNTIF($V$4:V172,V172)</f>
        <v>5</v>
      </c>
      <c r="U172" s="22" t="str">
        <f>IF(T172=1,COUNTIF($T$4:T172,1),"")</f>
        <v/>
      </c>
      <c r="V172" s="23" t="str">
        <f t="shared" si="18"/>
        <v>豊平区03認定こども園</v>
      </c>
      <c r="W172" s="23" t="str">
        <f t="shared" si="19"/>
        <v>認定こども園まなび</v>
      </c>
      <c r="X172" s="24">
        <v>168</v>
      </c>
      <c r="Y172" s="23"/>
    </row>
    <row r="173" spans="1:256" ht="11.25" customHeight="1" outlineLevel="1">
      <c r="A173" s="16">
        <v>500059</v>
      </c>
      <c r="B173" s="20" t="s">
        <v>199</v>
      </c>
      <c r="C173" s="20" t="s">
        <v>531</v>
      </c>
      <c r="D173" s="20" t="s">
        <v>1078</v>
      </c>
      <c r="E173" s="20" t="s">
        <v>218</v>
      </c>
      <c r="F173" s="21" t="s">
        <v>1661</v>
      </c>
      <c r="G173" s="21">
        <v>177</v>
      </c>
      <c r="H173" s="21">
        <v>39</v>
      </c>
      <c r="I173" s="21">
        <v>19</v>
      </c>
      <c r="J173" s="42">
        <v>235</v>
      </c>
      <c r="K173" s="21">
        <v>177</v>
      </c>
      <c r="L173" s="21">
        <v>39</v>
      </c>
      <c r="M173" s="21">
        <v>0</v>
      </c>
      <c r="N173" s="21">
        <v>19</v>
      </c>
      <c r="O173" s="21">
        <v>19</v>
      </c>
      <c r="P173" s="21">
        <v>0</v>
      </c>
      <c r="Q173" s="21"/>
      <c r="R173" s="20">
        <f t="shared" si="16"/>
        <v>235</v>
      </c>
      <c r="S173" s="22">
        <f t="shared" si="17"/>
        <v>500059</v>
      </c>
      <c r="T173" s="22">
        <f>COUNTIF($V$4:V173,V173)</f>
        <v>6</v>
      </c>
      <c r="U173" s="22" t="str">
        <f>IF(T173=1,COUNTIF($T$4:T173,1),"")</f>
        <v/>
      </c>
      <c r="V173" s="23" t="str">
        <f t="shared" si="18"/>
        <v>豊平区03認定こども園</v>
      </c>
      <c r="W173" s="23" t="str">
        <f t="shared" si="19"/>
        <v>幼保連携型認定こども園なかのしま幼稚園</v>
      </c>
      <c r="X173" s="24">
        <v>169</v>
      </c>
      <c r="Y173" s="23"/>
    </row>
    <row r="174" spans="1:256" ht="11.25" customHeight="1" outlineLevel="1">
      <c r="A174" s="16">
        <v>500064</v>
      </c>
      <c r="B174" s="20" t="s">
        <v>199</v>
      </c>
      <c r="C174" s="20" t="s">
        <v>531</v>
      </c>
      <c r="D174" s="20" t="s">
        <v>1069</v>
      </c>
      <c r="E174" s="20" t="s">
        <v>218</v>
      </c>
      <c r="F174" s="21" t="s">
        <v>1241</v>
      </c>
      <c r="G174" s="21">
        <v>15</v>
      </c>
      <c r="H174" s="21">
        <v>27</v>
      </c>
      <c r="I174" s="21">
        <v>18</v>
      </c>
      <c r="J174" s="42">
        <v>60</v>
      </c>
      <c r="K174" s="21">
        <v>15</v>
      </c>
      <c r="L174" s="21">
        <v>27</v>
      </c>
      <c r="M174" s="21">
        <v>0</v>
      </c>
      <c r="N174" s="21">
        <v>18</v>
      </c>
      <c r="O174" s="21">
        <v>18</v>
      </c>
      <c r="P174" s="21">
        <v>0</v>
      </c>
      <c r="Q174" s="21"/>
      <c r="R174" s="20">
        <f t="shared" si="16"/>
        <v>60</v>
      </c>
      <c r="S174" s="22">
        <f t="shared" si="17"/>
        <v>500064</v>
      </c>
      <c r="T174" s="22">
        <f>COUNTIF($V$4:V174,V174)</f>
        <v>7</v>
      </c>
      <c r="U174" s="22" t="str">
        <f>IF(T174=1,COUNTIF($T$4:T174,1),"")</f>
        <v/>
      </c>
      <c r="V174" s="23" t="str">
        <f t="shared" si="18"/>
        <v>豊平区03認定こども園</v>
      </c>
      <c r="W174" s="23" t="str">
        <f t="shared" si="19"/>
        <v>認定こども園しののめ</v>
      </c>
      <c r="X174" s="24">
        <v>170</v>
      </c>
      <c r="Y174" s="23"/>
    </row>
    <row r="175" spans="1:256" ht="11.25" customHeight="1" outlineLevel="1">
      <c r="A175" s="16">
        <v>500068</v>
      </c>
      <c r="B175" s="20" t="s">
        <v>199</v>
      </c>
      <c r="C175" s="20" t="s">
        <v>531</v>
      </c>
      <c r="D175" s="20" t="s">
        <v>1078</v>
      </c>
      <c r="E175" s="20" t="s">
        <v>218</v>
      </c>
      <c r="F175" s="21" t="s">
        <v>1311</v>
      </c>
      <c r="G175" s="21">
        <v>135</v>
      </c>
      <c r="H175" s="21">
        <v>18</v>
      </c>
      <c r="I175" s="21">
        <v>12</v>
      </c>
      <c r="J175" s="42">
        <v>165</v>
      </c>
      <c r="K175" s="21">
        <v>135</v>
      </c>
      <c r="L175" s="21">
        <v>18</v>
      </c>
      <c r="M175" s="21">
        <v>0</v>
      </c>
      <c r="N175" s="21">
        <v>12</v>
      </c>
      <c r="O175" s="21">
        <v>12</v>
      </c>
      <c r="P175" s="21">
        <v>0</v>
      </c>
      <c r="Q175" s="21"/>
      <c r="R175" s="20">
        <f t="shared" si="16"/>
        <v>165</v>
      </c>
      <c r="S175" s="22">
        <f t="shared" si="17"/>
        <v>500068</v>
      </c>
      <c r="T175" s="22">
        <f>COUNTIF($V$4:V175,V175)</f>
        <v>8</v>
      </c>
      <c r="U175" s="22" t="str">
        <f>IF(T175=1,COUNTIF($T$4:T175,1),"")</f>
        <v/>
      </c>
      <c r="V175" s="23" t="str">
        <f t="shared" si="18"/>
        <v>豊平区03認定こども園</v>
      </c>
      <c r="W175" s="23" t="str">
        <f t="shared" si="19"/>
        <v>認定こども園札幌ゆたか幼稚園</v>
      </c>
      <c r="X175" s="24">
        <v>171</v>
      </c>
      <c r="Y175" s="23"/>
    </row>
    <row r="176" spans="1:256" ht="11.25" customHeight="1" outlineLevel="1">
      <c r="A176" s="16">
        <v>500084</v>
      </c>
      <c r="B176" s="20" t="s">
        <v>199</v>
      </c>
      <c r="C176" s="20" t="s">
        <v>531</v>
      </c>
      <c r="D176" s="20" t="s">
        <v>1069</v>
      </c>
      <c r="E176" s="20" t="s">
        <v>218</v>
      </c>
      <c r="F176" s="21" t="s">
        <v>1136</v>
      </c>
      <c r="G176" s="21">
        <v>240</v>
      </c>
      <c r="H176" s="21">
        <v>63</v>
      </c>
      <c r="I176" s="21">
        <v>27</v>
      </c>
      <c r="J176" s="42">
        <v>330</v>
      </c>
      <c r="K176" s="21">
        <v>140</v>
      </c>
      <c r="L176" s="21">
        <v>63</v>
      </c>
      <c r="M176" s="21">
        <v>5</v>
      </c>
      <c r="N176" s="21">
        <v>22</v>
      </c>
      <c r="O176" s="21">
        <v>27</v>
      </c>
      <c r="P176" s="21">
        <v>0</v>
      </c>
      <c r="Q176" s="21"/>
      <c r="R176" s="20">
        <f t="shared" si="16"/>
        <v>230</v>
      </c>
      <c r="S176" s="22">
        <f t="shared" si="17"/>
        <v>500084</v>
      </c>
      <c r="T176" s="22">
        <f>COUNTIF($V$4:V176,V176)</f>
        <v>9</v>
      </c>
      <c r="U176" s="22" t="str">
        <f>IF(T176=1,COUNTIF($T$4:T176,1),"")</f>
        <v/>
      </c>
      <c r="V176" s="23" t="str">
        <f t="shared" si="18"/>
        <v>豊平区03認定こども園</v>
      </c>
      <c r="W176" s="23" t="str">
        <f t="shared" si="19"/>
        <v>認定こども園ひらぎし幼稚園</v>
      </c>
      <c r="X176" s="24">
        <v>172</v>
      </c>
      <c r="Y176" s="23"/>
    </row>
    <row r="177" spans="1:25" ht="11.25" customHeight="1" outlineLevel="1">
      <c r="A177" s="16">
        <v>500093</v>
      </c>
      <c r="B177" s="20" t="s">
        <v>199</v>
      </c>
      <c r="C177" s="20" t="s">
        <v>531</v>
      </c>
      <c r="D177" s="20" t="s">
        <v>1069</v>
      </c>
      <c r="E177" s="20" t="s">
        <v>218</v>
      </c>
      <c r="F177" s="21" t="s">
        <v>1137</v>
      </c>
      <c r="G177" s="21">
        <v>30</v>
      </c>
      <c r="H177" s="21">
        <v>49</v>
      </c>
      <c r="I177" s="21">
        <v>41</v>
      </c>
      <c r="J177" s="42">
        <v>120</v>
      </c>
      <c r="K177" s="21">
        <v>30</v>
      </c>
      <c r="L177" s="21">
        <v>49</v>
      </c>
      <c r="M177" s="21">
        <v>9</v>
      </c>
      <c r="N177" s="21">
        <v>32</v>
      </c>
      <c r="O177" s="21">
        <v>41</v>
      </c>
      <c r="P177" s="21">
        <v>0</v>
      </c>
      <c r="Q177" s="21"/>
      <c r="R177" s="20">
        <f t="shared" si="16"/>
        <v>120</v>
      </c>
      <c r="S177" s="22">
        <f t="shared" si="17"/>
        <v>500093</v>
      </c>
      <c r="T177" s="22">
        <f>COUNTIF($V$4:V177,V177)</f>
        <v>10</v>
      </c>
      <c r="U177" s="22" t="str">
        <f>IF(T177=1,COUNTIF($T$4:T177,1),"")</f>
        <v/>
      </c>
      <c r="V177" s="23" t="str">
        <f t="shared" si="18"/>
        <v>豊平区03認定こども園</v>
      </c>
      <c r="W177" s="23" t="str">
        <f t="shared" si="19"/>
        <v>認定こども園月寒そらいろ保育園</v>
      </c>
      <c r="X177" s="24">
        <v>173</v>
      </c>
      <c r="Y177" s="23"/>
    </row>
    <row r="178" spans="1:25" ht="11.25" customHeight="1" outlineLevel="1">
      <c r="A178" s="16">
        <v>500094</v>
      </c>
      <c r="B178" s="20" t="s">
        <v>199</v>
      </c>
      <c r="C178" s="20" t="s">
        <v>531</v>
      </c>
      <c r="D178" s="20" t="s">
        <v>1069</v>
      </c>
      <c r="E178" s="20" t="s">
        <v>218</v>
      </c>
      <c r="F178" s="21" t="s">
        <v>1230</v>
      </c>
      <c r="G178" s="21">
        <v>15</v>
      </c>
      <c r="H178" s="21">
        <v>51</v>
      </c>
      <c r="I178" s="21">
        <v>39</v>
      </c>
      <c r="J178" s="42">
        <v>105</v>
      </c>
      <c r="K178" s="21">
        <v>15</v>
      </c>
      <c r="L178" s="21">
        <v>51</v>
      </c>
      <c r="M178" s="21">
        <v>5</v>
      </c>
      <c r="N178" s="21">
        <v>34</v>
      </c>
      <c r="O178" s="21">
        <v>39</v>
      </c>
      <c r="P178" s="21">
        <v>0</v>
      </c>
      <c r="Q178" s="21"/>
      <c r="R178" s="20">
        <f t="shared" si="16"/>
        <v>105</v>
      </c>
      <c r="S178" s="22">
        <f t="shared" si="17"/>
        <v>500094</v>
      </c>
      <c r="T178" s="22">
        <f>COUNTIF($V$4:V178,V178)</f>
        <v>11</v>
      </c>
      <c r="U178" s="22" t="str">
        <f>IF(T178=1,COUNTIF($T$4:T178,1),"")</f>
        <v/>
      </c>
      <c r="V178" s="23" t="str">
        <f t="shared" si="18"/>
        <v>豊平区03認定こども園</v>
      </c>
      <c r="W178" s="23" t="str">
        <f t="shared" si="19"/>
        <v>こりっつ認定こども園</v>
      </c>
      <c r="X178" s="24">
        <v>174</v>
      </c>
      <c r="Y178" s="23"/>
    </row>
    <row r="179" spans="1:25" outlineLevel="1">
      <c r="A179" s="16">
        <v>500063</v>
      </c>
      <c r="B179" s="20" t="s">
        <v>199</v>
      </c>
      <c r="C179" s="20" t="s">
        <v>531</v>
      </c>
      <c r="D179" s="20" t="s">
        <v>1646</v>
      </c>
      <c r="E179" s="20" t="s">
        <v>218</v>
      </c>
      <c r="F179" s="21" t="s">
        <v>1662</v>
      </c>
      <c r="G179" s="21">
        <v>255</v>
      </c>
      <c r="H179" s="21">
        <v>60</v>
      </c>
      <c r="I179" s="21">
        <v>0</v>
      </c>
      <c r="J179" s="42">
        <v>315</v>
      </c>
      <c r="K179" s="21">
        <v>135</v>
      </c>
      <c r="L179" s="21">
        <v>60</v>
      </c>
      <c r="M179" s="21">
        <v>0</v>
      </c>
      <c r="N179" s="21">
        <v>0</v>
      </c>
      <c r="O179" s="21">
        <v>0</v>
      </c>
      <c r="P179" s="21">
        <v>0</v>
      </c>
      <c r="Q179" s="21"/>
      <c r="R179" s="20">
        <f t="shared" si="16"/>
        <v>195</v>
      </c>
      <c r="S179" s="22">
        <f t="shared" si="17"/>
        <v>500063</v>
      </c>
      <c r="T179" s="22">
        <f>COUNTIF($V$4:V179,V179)</f>
        <v>12</v>
      </c>
      <c r="U179" s="22" t="str">
        <f>IF(T179=1,COUNTIF($T$4:T179,1),"")</f>
        <v/>
      </c>
      <c r="V179" s="23" t="str">
        <f t="shared" si="18"/>
        <v>豊平区03認定こども園</v>
      </c>
      <c r="W179" s="23" t="str">
        <f t="shared" si="19"/>
        <v>認定こども園札幌若葉幼稚園</v>
      </c>
      <c r="X179" s="24">
        <v>175</v>
      </c>
      <c r="Y179" s="23"/>
    </row>
    <row r="180" spans="1:25" ht="11.25" customHeight="1" outlineLevel="1">
      <c r="A180" s="16">
        <v>500075</v>
      </c>
      <c r="B180" s="20" t="s">
        <v>199</v>
      </c>
      <c r="C180" s="20" t="s">
        <v>531</v>
      </c>
      <c r="D180" s="20" t="s">
        <v>1646</v>
      </c>
      <c r="E180" s="20" t="s">
        <v>218</v>
      </c>
      <c r="F180" s="21" t="s">
        <v>1663</v>
      </c>
      <c r="G180" s="21">
        <v>301</v>
      </c>
      <c r="H180" s="21">
        <v>30</v>
      </c>
      <c r="I180" s="21">
        <v>19</v>
      </c>
      <c r="J180" s="42">
        <v>350</v>
      </c>
      <c r="K180" s="21">
        <v>186</v>
      </c>
      <c r="L180" s="21">
        <v>30</v>
      </c>
      <c r="M180" s="21">
        <v>3</v>
      </c>
      <c r="N180" s="21">
        <v>16</v>
      </c>
      <c r="O180" s="21">
        <v>19</v>
      </c>
      <c r="P180" s="21">
        <v>0</v>
      </c>
      <c r="Q180" s="21"/>
      <c r="R180" s="20">
        <f t="shared" si="16"/>
        <v>235</v>
      </c>
      <c r="S180" s="22">
        <f t="shared" si="17"/>
        <v>500075</v>
      </c>
      <c r="T180" s="22">
        <f>COUNTIF($V$4:V180,V180)</f>
        <v>13</v>
      </c>
      <c r="U180" s="22" t="str">
        <f>IF(T180=1,COUNTIF($T$4:T180,1),"")</f>
        <v/>
      </c>
      <c r="V180" s="23" t="str">
        <f t="shared" si="18"/>
        <v>豊平区03認定こども園</v>
      </c>
      <c r="W180" s="23" t="str">
        <f t="shared" si="19"/>
        <v>認定こども園札幌第一幼稚園</v>
      </c>
      <c r="X180" s="24">
        <v>176</v>
      </c>
      <c r="Y180" s="23"/>
    </row>
    <row r="181" spans="1:25" ht="11.25" customHeight="1" outlineLevel="1">
      <c r="A181" s="16">
        <v>500077</v>
      </c>
      <c r="B181" s="20" t="s">
        <v>199</v>
      </c>
      <c r="C181" s="20" t="s">
        <v>531</v>
      </c>
      <c r="D181" s="20" t="s">
        <v>1072</v>
      </c>
      <c r="E181" s="20" t="s">
        <v>218</v>
      </c>
      <c r="F181" s="21" t="s">
        <v>1561</v>
      </c>
      <c r="G181" s="21">
        <v>245</v>
      </c>
      <c r="H181" s="21">
        <v>55</v>
      </c>
      <c r="I181" s="21"/>
      <c r="J181" s="42">
        <v>300</v>
      </c>
      <c r="K181" s="21">
        <v>195</v>
      </c>
      <c r="L181" s="21">
        <v>55</v>
      </c>
      <c r="M181" s="21">
        <v>0</v>
      </c>
      <c r="N181" s="21">
        <v>0</v>
      </c>
      <c r="O181" s="21">
        <v>0</v>
      </c>
      <c r="P181" s="21">
        <v>0</v>
      </c>
      <c r="Q181" s="21"/>
      <c r="R181" s="20">
        <f t="shared" si="16"/>
        <v>250</v>
      </c>
      <c r="S181" s="22">
        <f t="shared" si="17"/>
        <v>500077</v>
      </c>
      <c r="T181" s="22">
        <f>COUNTIF($V$4:V181,V181)</f>
        <v>14</v>
      </c>
      <c r="U181" s="22" t="str">
        <f>IF(T181=1,COUNTIF($T$4:T181,1),"")</f>
        <v/>
      </c>
      <c r="V181" s="23" t="str">
        <f t="shared" si="18"/>
        <v>豊平区03認定こども園</v>
      </c>
      <c r="W181" s="23" t="str">
        <f t="shared" si="19"/>
        <v>認定こども園札幌白ゆり幼稚園</v>
      </c>
      <c r="X181" s="24">
        <v>177</v>
      </c>
      <c r="Y181" s="23"/>
    </row>
    <row r="182" spans="1:25" ht="11.25" customHeight="1" outlineLevel="1">
      <c r="A182" s="16">
        <v>500010</v>
      </c>
      <c r="B182" s="20" t="s">
        <v>199</v>
      </c>
      <c r="C182" s="20" t="s">
        <v>531</v>
      </c>
      <c r="D182" s="20" t="s">
        <v>1067</v>
      </c>
      <c r="E182" s="20" t="s">
        <v>218</v>
      </c>
      <c r="F182" s="21" t="s">
        <v>1562</v>
      </c>
      <c r="G182" s="21">
        <v>9</v>
      </c>
      <c r="H182" s="21">
        <v>96</v>
      </c>
      <c r="I182" s="21">
        <v>69</v>
      </c>
      <c r="J182" s="42">
        <v>174</v>
      </c>
      <c r="K182" s="21">
        <v>9</v>
      </c>
      <c r="L182" s="21">
        <v>78</v>
      </c>
      <c r="M182" s="21">
        <v>15</v>
      </c>
      <c r="N182" s="21">
        <v>47</v>
      </c>
      <c r="O182" s="21">
        <v>62</v>
      </c>
      <c r="P182" s="21">
        <v>0</v>
      </c>
      <c r="Q182" s="21"/>
      <c r="R182" s="20">
        <f t="shared" si="16"/>
        <v>149</v>
      </c>
      <c r="S182" s="22">
        <f t="shared" si="17"/>
        <v>500010</v>
      </c>
      <c r="T182" s="22">
        <f>COUNTIF($V$4:V182,V182)</f>
        <v>15</v>
      </c>
      <c r="U182" s="22" t="str">
        <f>IF(T182=1,COUNTIF($T$4:T182,1),"")</f>
        <v/>
      </c>
      <c r="V182" s="23" t="str">
        <f t="shared" si="18"/>
        <v>豊平区03認定こども園</v>
      </c>
      <c r="W182" s="23" t="str">
        <f t="shared" si="19"/>
        <v>認定こども園札幌愛隣舘</v>
      </c>
      <c r="X182" s="24">
        <v>178</v>
      </c>
      <c r="Y182" s="23"/>
    </row>
    <row r="183" spans="1:25" ht="11.25" customHeight="1" outlineLevel="1">
      <c r="A183" s="16">
        <v>500012</v>
      </c>
      <c r="B183" s="20" t="s">
        <v>199</v>
      </c>
      <c r="C183" s="20" t="s">
        <v>531</v>
      </c>
      <c r="D183" s="20" t="s">
        <v>1067</v>
      </c>
      <c r="E183" s="20" t="s">
        <v>218</v>
      </c>
      <c r="F183" s="21" t="s">
        <v>1312</v>
      </c>
      <c r="G183" s="21">
        <v>15</v>
      </c>
      <c r="H183" s="21">
        <v>55</v>
      </c>
      <c r="I183" s="21">
        <v>45</v>
      </c>
      <c r="J183" s="42">
        <v>115</v>
      </c>
      <c r="K183" s="21">
        <v>15</v>
      </c>
      <c r="L183" s="21">
        <v>55</v>
      </c>
      <c r="M183" s="21">
        <v>12</v>
      </c>
      <c r="N183" s="21">
        <v>33</v>
      </c>
      <c r="O183" s="21">
        <v>45</v>
      </c>
      <c r="P183" s="21">
        <v>0</v>
      </c>
      <c r="Q183" s="21"/>
      <c r="R183" s="20">
        <f t="shared" si="16"/>
        <v>115</v>
      </c>
      <c r="S183" s="22">
        <f t="shared" si="17"/>
        <v>500012</v>
      </c>
      <c r="T183" s="22">
        <f>COUNTIF($V$4:V183,V183)</f>
        <v>16</v>
      </c>
      <c r="U183" s="22" t="str">
        <f>IF(T183=1,COUNTIF($T$4:T183,1),"")</f>
        <v/>
      </c>
      <c r="V183" s="23" t="str">
        <f t="shared" si="18"/>
        <v>豊平区03認定こども園</v>
      </c>
      <c r="W183" s="23" t="str">
        <f t="shared" si="19"/>
        <v>認定こども園みのり保育園</v>
      </c>
      <c r="X183" s="24">
        <v>179</v>
      </c>
      <c r="Y183" s="23"/>
    </row>
    <row r="184" spans="1:25" ht="11.25" customHeight="1" outlineLevel="1">
      <c r="A184" s="16">
        <v>500013</v>
      </c>
      <c r="B184" s="20" t="s">
        <v>199</v>
      </c>
      <c r="C184" s="20" t="s">
        <v>531</v>
      </c>
      <c r="D184" s="20" t="s">
        <v>1067</v>
      </c>
      <c r="E184" s="20" t="s">
        <v>218</v>
      </c>
      <c r="F184" s="21" t="s">
        <v>1313</v>
      </c>
      <c r="G184" s="21">
        <v>15</v>
      </c>
      <c r="H184" s="21">
        <v>66</v>
      </c>
      <c r="I184" s="21">
        <v>54</v>
      </c>
      <c r="J184" s="42">
        <v>135</v>
      </c>
      <c r="K184" s="21">
        <v>15</v>
      </c>
      <c r="L184" s="21">
        <v>62</v>
      </c>
      <c r="M184" s="21">
        <v>10</v>
      </c>
      <c r="N184" s="21">
        <v>38</v>
      </c>
      <c r="O184" s="21">
        <v>48</v>
      </c>
      <c r="P184" s="21">
        <v>0</v>
      </c>
      <c r="Q184" s="21"/>
      <c r="R184" s="20">
        <f t="shared" si="16"/>
        <v>125</v>
      </c>
      <c r="S184" s="22">
        <f t="shared" si="17"/>
        <v>500013</v>
      </c>
      <c r="T184" s="22">
        <f>COUNTIF($V$4:V184,V184)</f>
        <v>17</v>
      </c>
      <c r="U184" s="22" t="str">
        <f>IF(T184=1,COUNTIF($T$4:T184,1),"")</f>
        <v/>
      </c>
      <c r="V184" s="23" t="str">
        <f t="shared" si="18"/>
        <v>豊平区03認定こども園</v>
      </c>
      <c r="W184" s="23" t="str">
        <f t="shared" si="19"/>
        <v>認定こども園中の島保育園</v>
      </c>
      <c r="X184" s="24">
        <v>180</v>
      </c>
      <c r="Y184" s="23"/>
    </row>
    <row r="185" spans="1:25" ht="11.25" customHeight="1" outlineLevel="1">
      <c r="A185" s="16">
        <v>500015</v>
      </c>
      <c r="B185" s="20" t="s">
        <v>199</v>
      </c>
      <c r="C185" s="20" t="s">
        <v>531</v>
      </c>
      <c r="D185" s="20" t="s">
        <v>1284</v>
      </c>
      <c r="E185" s="20" t="s">
        <v>218</v>
      </c>
      <c r="F185" s="21" t="s">
        <v>1664</v>
      </c>
      <c r="G185" s="21">
        <v>10</v>
      </c>
      <c r="H185" s="21">
        <v>90</v>
      </c>
      <c r="I185" s="21">
        <v>60</v>
      </c>
      <c r="J185" s="42">
        <v>160</v>
      </c>
      <c r="K185" s="21">
        <v>10</v>
      </c>
      <c r="L185" s="21">
        <v>90</v>
      </c>
      <c r="M185" s="21">
        <v>10</v>
      </c>
      <c r="N185" s="21">
        <v>50</v>
      </c>
      <c r="O185" s="21">
        <v>60</v>
      </c>
      <c r="P185" s="21">
        <v>0</v>
      </c>
      <c r="Q185" s="21"/>
      <c r="R185" s="20">
        <f t="shared" si="16"/>
        <v>160</v>
      </c>
      <c r="S185" s="22">
        <f t="shared" si="17"/>
        <v>500015</v>
      </c>
      <c r="T185" s="22">
        <f>COUNTIF($V$4:V185,V185)</f>
        <v>18</v>
      </c>
      <c r="U185" s="22" t="str">
        <f>IF(T185=1,COUNTIF($T$4:T185,1),"")</f>
        <v/>
      </c>
      <c r="V185" s="23" t="str">
        <f t="shared" si="18"/>
        <v>豊平区03認定こども園</v>
      </c>
      <c r="W185" s="23" t="str">
        <f t="shared" si="19"/>
        <v>認定こども園札幌愛隣舘東山</v>
      </c>
      <c r="X185" s="24">
        <v>181</v>
      </c>
      <c r="Y185" s="23"/>
    </row>
    <row r="186" spans="1:25" ht="11.25" customHeight="1" outlineLevel="1">
      <c r="A186" s="16">
        <v>500016</v>
      </c>
      <c r="B186" s="20" t="s">
        <v>199</v>
      </c>
      <c r="C186" s="20" t="s">
        <v>531</v>
      </c>
      <c r="D186" s="20" t="s">
        <v>1067</v>
      </c>
      <c r="E186" s="20" t="s">
        <v>218</v>
      </c>
      <c r="F186" s="21" t="s">
        <v>1314</v>
      </c>
      <c r="G186" s="21">
        <v>15</v>
      </c>
      <c r="H186" s="21">
        <v>75</v>
      </c>
      <c r="I186" s="21">
        <v>45</v>
      </c>
      <c r="J186" s="42">
        <v>135</v>
      </c>
      <c r="K186" s="21">
        <v>15</v>
      </c>
      <c r="L186" s="21">
        <v>75</v>
      </c>
      <c r="M186" s="21">
        <v>9</v>
      </c>
      <c r="N186" s="21">
        <v>36</v>
      </c>
      <c r="O186" s="21">
        <v>45</v>
      </c>
      <c r="P186" s="21">
        <v>0</v>
      </c>
      <c r="Q186" s="21"/>
      <c r="R186" s="20">
        <f t="shared" si="16"/>
        <v>135</v>
      </c>
      <c r="S186" s="22">
        <f t="shared" si="17"/>
        <v>500016</v>
      </c>
      <c r="T186" s="22">
        <f>COUNTIF($V$4:V186,V186)</f>
        <v>19</v>
      </c>
      <c r="U186" s="22" t="str">
        <f>IF(T186=1,COUNTIF($T$4:T186,1),"")</f>
        <v/>
      </c>
      <c r="V186" s="23" t="str">
        <f t="shared" si="18"/>
        <v>豊平区03認定こども園</v>
      </c>
      <c r="W186" s="23" t="str">
        <f t="shared" si="19"/>
        <v>東月寒認定こども園</v>
      </c>
      <c r="X186" s="24">
        <v>182</v>
      </c>
      <c r="Y186" s="23"/>
    </row>
    <row r="187" spans="1:25" ht="11.25" customHeight="1" outlineLevel="1">
      <c r="A187" s="16">
        <v>500017</v>
      </c>
      <c r="B187" s="20" t="s">
        <v>199</v>
      </c>
      <c r="C187" s="20" t="s">
        <v>531</v>
      </c>
      <c r="D187" s="20" t="s">
        <v>1284</v>
      </c>
      <c r="E187" s="20" t="s">
        <v>218</v>
      </c>
      <c r="F187" s="21" t="s">
        <v>1665</v>
      </c>
      <c r="G187" s="21">
        <v>12</v>
      </c>
      <c r="H187" s="21">
        <v>73</v>
      </c>
      <c r="I187" s="21">
        <v>47</v>
      </c>
      <c r="J187" s="42">
        <v>132</v>
      </c>
      <c r="K187" s="21">
        <v>12</v>
      </c>
      <c r="L187" s="21">
        <v>73</v>
      </c>
      <c r="M187" s="21">
        <v>9</v>
      </c>
      <c r="N187" s="21">
        <v>38</v>
      </c>
      <c r="O187" s="21">
        <v>47</v>
      </c>
      <c r="P187" s="21">
        <v>0</v>
      </c>
      <c r="Q187" s="21"/>
      <c r="R187" s="20">
        <f t="shared" si="16"/>
        <v>132</v>
      </c>
      <c r="S187" s="22">
        <f t="shared" si="17"/>
        <v>500017</v>
      </c>
      <c r="T187" s="22">
        <f>COUNTIF($V$4:V187,V187)</f>
        <v>20</v>
      </c>
      <c r="U187" s="22" t="str">
        <f>IF(T187=1,COUNTIF($T$4:T187,1),"")</f>
        <v/>
      </c>
      <c r="V187" s="23" t="str">
        <f t="shared" si="18"/>
        <v>豊平区03認定こども園</v>
      </c>
      <c r="W187" s="23" t="str">
        <f t="shared" si="19"/>
        <v>認定こども園札幌愛隣舘りんご</v>
      </c>
      <c r="X187" s="24">
        <v>183</v>
      </c>
      <c r="Y187" s="23"/>
    </row>
    <row r="188" spans="1:25" ht="11.25" customHeight="1" outlineLevel="1">
      <c r="A188" s="16">
        <v>500018</v>
      </c>
      <c r="B188" s="20" t="s">
        <v>199</v>
      </c>
      <c r="C188" s="20" t="s">
        <v>531</v>
      </c>
      <c r="D188" s="20" t="s">
        <v>1067</v>
      </c>
      <c r="E188" s="20" t="s">
        <v>218</v>
      </c>
      <c r="F188" s="21" t="s">
        <v>1449</v>
      </c>
      <c r="G188" s="21">
        <v>10</v>
      </c>
      <c r="H188" s="21">
        <v>66</v>
      </c>
      <c r="I188" s="21">
        <v>54</v>
      </c>
      <c r="J188" s="42">
        <v>130</v>
      </c>
      <c r="K188" s="21">
        <v>10</v>
      </c>
      <c r="L188" s="21">
        <v>56</v>
      </c>
      <c r="M188" s="21">
        <v>10</v>
      </c>
      <c r="N188" s="21">
        <v>34</v>
      </c>
      <c r="O188" s="21">
        <v>44</v>
      </c>
      <c r="P188" s="21">
        <v>0</v>
      </c>
      <c r="Q188" s="21"/>
      <c r="R188" s="20">
        <f t="shared" si="16"/>
        <v>110</v>
      </c>
      <c r="S188" s="22">
        <f t="shared" si="17"/>
        <v>500018</v>
      </c>
      <c r="T188" s="22">
        <f>COUNTIF($V$4:V188,V188)</f>
        <v>21</v>
      </c>
      <c r="U188" s="22" t="str">
        <f>IF(T188=1,COUNTIF($T$4:T188,1),"")</f>
        <v/>
      </c>
      <c r="V188" s="23" t="str">
        <f t="shared" si="18"/>
        <v>豊平区03認定こども園</v>
      </c>
      <c r="W188" s="23" t="str">
        <f t="shared" si="19"/>
        <v>認定こども園羊丘藤保育園</v>
      </c>
      <c r="X188" s="24">
        <v>184</v>
      </c>
      <c r="Y188" s="23"/>
    </row>
    <row r="189" spans="1:25" ht="11.25" customHeight="1" outlineLevel="1">
      <c r="A189" s="16">
        <v>500021</v>
      </c>
      <c r="B189" s="20" t="s">
        <v>199</v>
      </c>
      <c r="C189" s="20" t="s">
        <v>531</v>
      </c>
      <c r="D189" s="20" t="s">
        <v>1067</v>
      </c>
      <c r="E189" s="20" t="s">
        <v>218</v>
      </c>
      <c r="F189" s="21" t="s">
        <v>1450</v>
      </c>
      <c r="G189" s="21">
        <v>12</v>
      </c>
      <c r="H189" s="21">
        <v>76</v>
      </c>
      <c r="I189" s="21">
        <v>54</v>
      </c>
      <c r="J189" s="42">
        <v>142</v>
      </c>
      <c r="K189" s="21">
        <v>12</v>
      </c>
      <c r="L189" s="21">
        <v>76</v>
      </c>
      <c r="M189" s="21">
        <v>12</v>
      </c>
      <c r="N189" s="21">
        <v>42</v>
      </c>
      <c r="O189" s="21">
        <v>54</v>
      </c>
      <c r="P189" s="21">
        <v>0</v>
      </c>
      <c r="Q189" s="21"/>
      <c r="R189" s="20">
        <f t="shared" si="16"/>
        <v>142</v>
      </c>
      <c r="S189" s="22">
        <f t="shared" si="17"/>
        <v>500021</v>
      </c>
      <c r="T189" s="22">
        <f>COUNTIF($V$4:V189,V189)</f>
        <v>22</v>
      </c>
      <c r="U189" s="22" t="str">
        <f>IF(T189=1,COUNTIF($T$4:T189,1),"")</f>
        <v/>
      </c>
      <c r="V189" s="23" t="str">
        <f t="shared" si="18"/>
        <v>豊平区03認定こども園</v>
      </c>
      <c r="W189" s="23" t="str">
        <f t="shared" si="19"/>
        <v>西岡高台こども園</v>
      </c>
      <c r="X189" s="24">
        <v>185</v>
      </c>
      <c r="Y189" s="23"/>
    </row>
    <row r="190" spans="1:25" ht="11.25" customHeight="1" outlineLevel="1">
      <c r="A190" s="16">
        <v>500023</v>
      </c>
      <c r="B190" s="20" t="s">
        <v>199</v>
      </c>
      <c r="C190" s="20" t="s">
        <v>531</v>
      </c>
      <c r="D190" s="20" t="s">
        <v>1284</v>
      </c>
      <c r="E190" s="20" t="s">
        <v>218</v>
      </c>
      <c r="F190" s="21" t="s">
        <v>1666</v>
      </c>
      <c r="G190" s="21">
        <v>6</v>
      </c>
      <c r="H190" s="21">
        <v>33</v>
      </c>
      <c r="I190" s="21">
        <v>27</v>
      </c>
      <c r="J190" s="42">
        <v>66</v>
      </c>
      <c r="K190" s="21">
        <v>6</v>
      </c>
      <c r="L190" s="21">
        <v>33</v>
      </c>
      <c r="M190" s="21">
        <v>6</v>
      </c>
      <c r="N190" s="21">
        <v>21</v>
      </c>
      <c r="O190" s="21">
        <v>27</v>
      </c>
      <c r="P190" s="21">
        <v>0</v>
      </c>
      <c r="Q190" s="21"/>
      <c r="R190" s="20">
        <f t="shared" si="16"/>
        <v>66</v>
      </c>
      <c r="S190" s="22">
        <f t="shared" si="17"/>
        <v>500023</v>
      </c>
      <c r="T190" s="22">
        <f>COUNTIF($V$4:V190,V190)</f>
        <v>23</v>
      </c>
      <c r="U190" s="22" t="str">
        <f>IF(T190=1,COUNTIF($T$4:T190,1),"")</f>
        <v/>
      </c>
      <c r="V190" s="23" t="str">
        <f t="shared" si="18"/>
        <v>豊平区03認定こども園</v>
      </c>
      <c r="W190" s="23" t="str">
        <f t="shared" si="19"/>
        <v>中の島興正こども園</v>
      </c>
      <c r="X190" s="24">
        <v>186</v>
      </c>
      <c r="Y190" s="23"/>
    </row>
    <row r="191" spans="1:25" ht="11.25" customHeight="1" outlineLevel="1">
      <c r="A191" s="16">
        <v>500024</v>
      </c>
      <c r="B191" s="20" t="s">
        <v>199</v>
      </c>
      <c r="C191" s="20" t="s">
        <v>531</v>
      </c>
      <c r="D191" s="20" t="s">
        <v>1067</v>
      </c>
      <c r="E191" s="20" t="s">
        <v>218</v>
      </c>
      <c r="F191" s="21" t="s">
        <v>1451</v>
      </c>
      <c r="G191" s="21">
        <v>15</v>
      </c>
      <c r="H191" s="21">
        <v>49</v>
      </c>
      <c r="I191" s="21">
        <v>41</v>
      </c>
      <c r="J191" s="42">
        <v>105</v>
      </c>
      <c r="K191" s="21">
        <v>15</v>
      </c>
      <c r="L191" s="21">
        <v>49</v>
      </c>
      <c r="M191" s="21">
        <v>10</v>
      </c>
      <c r="N191" s="21">
        <v>31</v>
      </c>
      <c r="O191" s="21">
        <v>41</v>
      </c>
      <c r="P191" s="21">
        <v>0</v>
      </c>
      <c r="Q191" s="21"/>
      <c r="R191" s="20">
        <f t="shared" si="16"/>
        <v>105</v>
      </c>
      <c r="S191" s="22">
        <f t="shared" si="17"/>
        <v>500024</v>
      </c>
      <c r="T191" s="22">
        <f>COUNTIF($V$4:V191,V191)</f>
        <v>24</v>
      </c>
      <c r="U191" s="22" t="str">
        <f>IF(T191=1,COUNTIF($T$4:T191,1),"")</f>
        <v/>
      </c>
      <c r="V191" s="23" t="str">
        <f t="shared" si="18"/>
        <v>豊平区03認定こども園</v>
      </c>
      <c r="W191" s="23" t="str">
        <f t="shared" si="19"/>
        <v>福住保育園</v>
      </c>
      <c r="X191" s="24">
        <v>187</v>
      </c>
      <c r="Y191" s="23"/>
    </row>
    <row r="192" spans="1:25" ht="11.25" customHeight="1" outlineLevel="1">
      <c r="A192" s="16">
        <v>500026</v>
      </c>
      <c r="B192" s="20" t="s">
        <v>199</v>
      </c>
      <c r="C192" s="20" t="s">
        <v>531</v>
      </c>
      <c r="D192" s="20" t="s">
        <v>1067</v>
      </c>
      <c r="E192" s="20" t="s">
        <v>218</v>
      </c>
      <c r="F192" s="21" t="s">
        <v>1452</v>
      </c>
      <c r="G192" s="21">
        <v>15</v>
      </c>
      <c r="H192" s="21">
        <v>70</v>
      </c>
      <c r="I192" s="21">
        <v>50</v>
      </c>
      <c r="J192" s="42">
        <v>135</v>
      </c>
      <c r="K192" s="21">
        <v>15</v>
      </c>
      <c r="L192" s="21">
        <v>70</v>
      </c>
      <c r="M192" s="21">
        <v>8</v>
      </c>
      <c r="N192" s="21">
        <v>42</v>
      </c>
      <c r="O192" s="21">
        <v>50</v>
      </c>
      <c r="P192" s="21">
        <v>0</v>
      </c>
      <c r="Q192" s="21"/>
      <c r="R192" s="20">
        <f t="shared" si="16"/>
        <v>135</v>
      </c>
      <c r="S192" s="22">
        <f t="shared" si="17"/>
        <v>500026</v>
      </c>
      <c r="T192" s="22">
        <f>COUNTIF($V$4:V192,V192)</f>
        <v>25</v>
      </c>
      <c r="U192" s="22" t="str">
        <f>IF(T192=1,COUNTIF($T$4:T192,1),"")</f>
        <v/>
      </c>
      <c r="V192" s="23" t="str">
        <f t="shared" si="18"/>
        <v>豊平区03認定こども園</v>
      </c>
      <c r="W192" s="23" t="str">
        <f t="shared" si="19"/>
        <v>平岸興正こども園</v>
      </c>
      <c r="X192" s="24">
        <v>188</v>
      </c>
      <c r="Y192" s="23"/>
    </row>
    <row r="193" spans="1:256" ht="11.25" customHeight="1" outlineLevel="1">
      <c r="A193" s="16">
        <v>500027</v>
      </c>
      <c r="B193" s="20" t="s">
        <v>199</v>
      </c>
      <c r="C193" s="20" t="s">
        <v>531</v>
      </c>
      <c r="D193" s="20" t="s">
        <v>1067</v>
      </c>
      <c r="E193" s="20" t="s">
        <v>218</v>
      </c>
      <c r="F193" s="21" t="s">
        <v>1134</v>
      </c>
      <c r="G193" s="21">
        <v>15</v>
      </c>
      <c r="H193" s="21">
        <v>68</v>
      </c>
      <c r="I193" s="21">
        <v>52</v>
      </c>
      <c r="J193" s="42">
        <v>135</v>
      </c>
      <c r="K193" s="21">
        <v>15</v>
      </c>
      <c r="L193" s="21">
        <v>58</v>
      </c>
      <c r="M193" s="21">
        <v>6</v>
      </c>
      <c r="N193" s="21">
        <v>26</v>
      </c>
      <c r="O193" s="21">
        <v>32</v>
      </c>
      <c r="P193" s="21">
        <v>0</v>
      </c>
      <c r="Q193" s="21"/>
      <c r="R193" s="20">
        <f t="shared" si="16"/>
        <v>105</v>
      </c>
      <c r="S193" s="22">
        <f t="shared" si="17"/>
        <v>500027</v>
      </c>
      <c r="T193" s="22">
        <f>COUNTIF($V$4:V193,V193)</f>
        <v>26</v>
      </c>
      <c r="U193" s="22" t="str">
        <f>IF(T193=1,COUNTIF($T$4:T193,1),"")</f>
        <v/>
      </c>
      <c r="V193" s="23" t="str">
        <f t="shared" si="18"/>
        <v>豊平区03認定こども園</v>
      </c>
      <c r="W193" s="23" t="str">
        <f t="shared" si="19"/>
        <v>認定こども園中の島スマイル</v>
      </c>
      <c r="X193" s="24">
        <v>189</v>
      </c>
      <c r="Y193" s="23"/>
    </row>
    <row r="194" spans="1:256" ht="11.25" customHeight="1" outlineLevel="1">
      <c r="A194" s="16">
        <v>500029</v>
      </c>
      <c r="B194" s="20" t="s">
        <v>199</v>
      </c>
      <c r="C194" s="20" t="s">
        <v>531</v>
      </c>
      <c r="D194" s="20" t="s">
        <v>1067</v>
      </c>
      <c r="E194" s="20" t="s">
        <v>218</v>
      </c>
      <c r="F194" s="21" t="s">
        <v>1135</v>
      </c>
      <c r="G194" s="21">
        <v>10</v>
      </c>
      <c r="H194" s="21">
        <v>37</v>
      </c>
      <c r="I194" s="21">
        <v>33</v>
      </c>
      <c r="J194" s="42">
        <v>80</v>
      </c>
      <c r="K194" s="21">
        <v>10</v>
      </c>
      <c r="L194" s="21">
        <v>37</v>
      </c>
      <c r="M194" s="21">
        <v>10</v>
      </c>
      <c r="N194" s="21">
        <v>23</v>
      </c>
      <c r="O194" s="21">
        <v>33</v>
      </c>
      <c r="P194" s="21">
        <v>0</v>
      </c>
      <c r="Q194" s="21"/>
      <c r="R194" s="20">
        <f t="shared" si="16"/>
        <v>80</v>
      </c>
      <c r="S194" s="22">
        <f t="shared" si="17"/>
        <v>500029</v>
      </c>
      <c r="T194" s="22">
        <f>COUNTIF($V$4:V194,V194)</f>
        <v>27</v>
      </c>
      <c r="U194" s="22" t="str">
        <f>IF(T194=1,COUNTIF($T$4:T194,1),"")</f>
        <v/>
      </c>
      <c r="V194" s="23" t="str">
        <f t="shared" si="18"/>
        <v>豊平区03認定こども園</v>
      </c>
      <c r="W194" s="23" t="str">
        <f t="shared" si="19"/>
        <v>平岸友愛認定こども園</v>
      </c>
      <c r="X194" s="24">
        <v>190</v>
      </c>
      <c r="Y194" s="23"/>
    </row>
    <row r="195" spans="1:256" ht="11.25" customHeight="1" outlineLevel="1">
      <c r="A195" s="16">
        <v>500053</v>
      </c>
      <c r="B195" s="20" t="s">
        <v>199</v>
      </c>
      <c r="C195" s="20" t="s">
        <v>531</v>
      </c>
      <c r="D195" s="20" t="s">
        <v>1067</v>
      </c>
      <c r="E195" s="20" t="s">
        <v>218</v>
      </c>
      <c r="F195" s="21" t="s">
        <v>1453</v>
      </c>
      <c r="G195" s="21">
        <v>6</v>
      </c>
      <c r="H195" s="21">
        <v>33</v>
      </c>
      <c r="I195" s="21">
        <v>27</v>
      </c>
      <c r="J195" s="42">
        <v>66</v>
      </c>
      <c r="K195" s="21">
        <v>6</v>
      </c>
      <c r="L195" s="21">
        <v>33</v>
      </c>
      <c r="M195" s="21">
        <v>6</v>
      </c>
      <c r="N195" s="21">
        <v>21</v>
      </c>
      <c r="O195" s="21">
        <v>27</v>
      </c>
      <c r="P195" s="21">
        <v>0</v>
      </c>
      <c r="Q195" s="21"/>
      <c r="R195" s="20">
        <f t="shared" si="16"/>
        <v>66</v>
      </c>
      <c r="S195" s="22">
        <f t="shared" si="17"/>
        <v>500053</v>
      </c>
      <c r="T195" s="22">
        <f>COUNTIF($V$4:V195,V195)</f>
        <v>28</v>
      </c>
      <c r="U195" s="22" t="str">
        <f>IF(T195=1,COUNTIF($T$4:T195,1),"")</f>
        <v/>
      </c>
      <c r="V195" s="23" t="str">
        <f t="shared" si="18"/>
        <v>豊平区03認定こども園</v>
      </c>
      <c r="W195" s="23" t="str">
        <f t="shared" si="19"/>
        <v>認定こども園月寒西わんぱく保育園</v>
      </c>
      <c r="X195" s="24">
        <v>191</v>
      </c>
      <c r="Y195" s="23"/>
    </row>
    <row r="196" spans="1:256" ht="11.25" customHeight="1" outlineLevel="1">
      <c r="A196" s="16">
        <v>500065</v>
      </c>
      <c r="B196" s="20" t="s">
        <v>199</v>
      </c>
      <c r="C196" s="20" t="s">
        <v>531</v>
      </c>
      <c r="D196" s="20" t="s">
        <v>1067</v>
      </c>
      <c r="E196" s="20" t="s">
        <v>218</v>
      </c>
      <c r="F196" s="21" t="s">
        <v>1315</v>
      </c>
      <c r="G196" s="21">
        <v>15</v>
      </c>
      <c r="H196" s="21">
        <v>49</v>
      </c>
      <c r="I196" s="21">
        <v>41</v>
      </c>
      <c r="J196" s="42">
        <v>105</v>
      </c>
      <c r="K196" s="21">
        <v>15</v>
      </c>
      <c r="L196" s="21">
        <v>49</v>
      </c>
      <c r="M196" s="21">
        <v>9</v>
      </c>
      <c r="N196" s="21">
        <v>32</v>
      </c>
      <c r="O196" s="21">
        <v>41</v>
      </c>
      <c r="P196" s="21">
        <v>0</v>
      </c>
      <c r="Q196" s="21"/>
      <c r="R196" s="20">
        <f t="shared" si="16"/>
        <v>105</v>
      </c>
      <c r="S196" s="22">
        <f t="shared" si="17"/>
        <v>500065</v>
      </c>
      <c r="T196" s="22">
        <f>COUNTIF($V$4:V196,V196)</f>
        <v>29</v>
      </c>
      <c r="U196" s="22" t="str">
        <f>IF(T196=1,COUNTIF($T$4:T196,1),"")</f>
        <v/>
      </c>
      <c r="V196" s="23" t="str">
        <f t="shared" si="18"/>
        <v>豊平区03認定こども園</v>
      </c>
      <c r="W196" s="23" t="str">
        <f t="shared" si="19"/>
        <v>認定こども園とよひら保育園</v>
      </c>
      <c r="X196" s="24">
        <v>192</v>
      </c>
      <c r="Y196" s="23"/>
    </row>
    <row r="197" spans="1:256" ht="11.25" customHeight="1" outlineLevel="1">
      <c r="A197" s="16">
        <v>550007</v>
      </c>
      <c r="B197" s="20" t="s">
        <v>199</v>
      </c>
      <c r="C197" s="20" t="s">
        <v>531</v>
      </c>
      <c r="D197" s="20" t="s">
        <v>1069</v>
      </c>
      <c r="E197" s="20" t="s">
        <v>221</v>
      </c>
      <c r="F197" s="21" t="s">
        <v>1138</v>
      </c>
      <c r="G197" s="21">
        <v>15</v>
      </c>
      <c r="H197" s="21">
        <v>60</v>
      </c>
      <c r="I197" s="21">
        <v>50</v>
      </c>
      <c r="J197" s="42">
        <v>125</v>
      </c>
      <c r="K197" s="21">
        <v>15</v>
      </c>
      <c r="L197" s="21">
        <v>60</v>
      </c>
      <c r="M197" s="21">
        <v>10</v>
      </c>
      <c r="N197" s="21">
        <v>40</v>
      </c>
      <c r="O197" s="21">
        <v>50</v>
      </c>
      <c r="P197" s="21">
        <v>0</v>
      </c>
      <c r="Q197" s="21"/>
      <c r="R197" s="20">
        <f t="shared" ref="R197:R260" si="20">SUM(K197,L197,O197)</f>
        <v>125</v>
      </c>
      <c r="S197" s="22">
        <f t="shared" si="17"/>
        <v>550007</v>
      </c>
      <c r="T197" s="22">
        <f>COUNTIF($V$4:V197,V197)</f>
        <v>1</v>
      </c>
      <c r="U197" s="22">
        <f>IF(T197=1,COUNTIF($T$4:T197,1),"")</f>
        <v>7</v>
      </c>
      <c r="V197" s="23" t="str">
        <f t="shared" si="18"/>
        <v>清田区03認定こども園</v>
      </c>
      <c r="W197" s="23" t="str">
        <f t="shared" si="19"/>
        <v>花山認定こども園</v>
      </c>
      <c r="X197" s="24">
        <v>193</v>
      </c>
      <c r="Y197" s="23"/>
    </row>
    <row r="198" spans="1:256" ht="11.25" customHeight="1" outlineLevel="1">
      <c r="A198" s="16">
        <v>550009</v>
      </c>
      <c r="B198" s="20" t="s">
        <v>199</v>
      </c>
      <c r="C198" s="20" t="s">
        <v>531</v>
      </c>
      <c r="D198" s="20" t="s">
        <v>1069</v>
      </c>
      <c r="E198" s="20" t="s">
        <v>221</v>
      </c>
      <c r="F198" s="21" t="s">
        <v>1139</v>
      </c>
      <c r="G198" s="21">
        <v>15</v>
      </c>
      <c r="H198" s="21">
        <v>54</v>
      </c>
      <c r="I198" s="21">
        <v>46</v>
      </c>
      <c r="J198" s="42">
        <v>115</v>
      </c>
      <c r="K198" s="21">
        <v>15</v>
      </c>
      <c r="L198" s="21">
        <v>54</v>
      </c>
      <c r="M198" s="21">
        <v>10</v>
      </c>
      <c r="N198" s="21">
        <v>36</v>
      </c>
      <c r="O198" s="21">
        <v>46</v>
      </c>
      <c r="P198" s="21">
        <v>0</v>
      </c>
      <c r="Q198" s="21"/>
      <c r="R198" s="20">
        <f t="shared" si="20"/>
        <v>115</v>
      </c>
      <c r="S198" s="22">
        <f t="shared" ref="S198:S261" si="21">A198</f>
        <v>550009</v>
      </c>
      <c r="T198" s="22">
        <f>COUNTIF($V$4:V198,V198)</f>
        <v>2</v>
      </c>
      <c r="U198" s="22" t="str">
        <f>IF(T198=1,COUNTIF($T$4:T198,1),"")</f>
        <v/>
      </c>
      <c r="V198" s="23" t="str">
        <f t="shared" ref="V198:V261" si="22">$E198&amp;$C198</f>
        <v>清田区03認定こども園</v>
      </c>
      <c r="W198" s="23" t="str">
        <f t="shared" ref="W198:W261" si="23">$F198</f>
        <v>アルプス認定こども園</v>
      </c>
      <c r="X198" s="24">
        <v>194</v>
      </c>
      <c r="Y198" s="23"/>
    </row>
    <row r="199" spans="1:256" s="23" customFormat="1" ht="11.25" customHeight="1" outlineLevel="1">
      <c r="A199" s="16">
        <v>550011</v>
      </c>
      <c r="B199" s="20" t="s">
        <v>199</v>
      </c>
      <c r="C199" s="20" t="s">
        <v>531</v>
      </c>
      <c r="D199" s="20" t="s">
        <v>1069</v>
      </c>
      <c r="E199" s="20" t="s">
        <v>221</v>
      </c>
      <c r="F199" s="21" t="s">
        <v>1140</v>
      </c>
      <c r="G199" s="21">
        <v>9</v>
      </c>
      <c r="H199" s="21">
        <v>50</v>
      </c>
      <c r="I199" s="21">
        <v>40</v>
      </c>
      <c r="J199" s="42">
        <v>99</v>
      </c>
      <c r="K199" s="21">
        <v>9</v>
      </c>
      <c r="L199" s="21">
        <v>39</v>
      </c>
      <c r="M199" s="21">
        <v>5</v>
      </c>
      <c r="N199" s="21">
        <v>26</v>
      </c>
      <c r="O199" s="21">
        <v>31</v>
      </c>
      <c r="P199" s="21">
        <v>0</v>
      </c>
      <c r="Q199" s="21"/>
      <c r="R199" s="20">
        <f t="shared" si="20"/>
        <v>79</v>
      </c>
      <c r="S199" s="22">
        <f t="shared" si="21"/>
        <v>550011</v>
      </c>
      <c r="T199" s="22">
        <f>COUNTIF($V$4:V199,V199)</f>
        <v>3</v>
      </c>
      <c r="U199" s="22" t="str">
        <f>IF(T199=1,COUNTIF($T$4:T199,1),"")</f>
        <v/>
      </c>
      <c r="V199" s="23" t="str">
        <f t="shared" si="22"/>
        <v>清田区03認定こども園</v>
      </c>
      <c r="W199" s="23" t="str">
        <f t="shared" si="23"/>
        <v>認定こども園からまつ保育園</v>
      </c>
      <c r="X199" s="24">
        <v>195</v>
      </c>
      <c r="Z199" s="9"/>
      <c r="AA199" s="9"/>
      <c r="AB199" s="9"/>
      <c r="AC199" s="9"/>
      <c r="AD199" s="9"/>
      <c r="AE199" s="9"/>
      <c r="AF199" s="9"/>
      <c r="AG199" s="9"/>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row>
    <row r="200" spans="1:256" ht="11.25" customHeight="1" outlineLevel="1">
      <c r="A200" s="16">
        <v>550016</v>
      </c>
      <c r="B200" s="20" t="s">
        <v>199</v>
      </c>
      <c r="C200" s="20" t="s">
        <v>531</v>
      </c>
      <c r="D200" s="20" t="s">
        <v>1069</v>
      </c>
      <c r="E200" s="20" t="s">
        <v>221</v>
      </c>
      <c r="F200" s="21" t="s">
        <v>1141</v>
      </c>
      <c r="G200" s="21">
        <v>330</v>
      </c>
      <c r="H200" s="21">
        <v>54</v>
      </c>
      <c r="I200" s="21">
        <v>36</v>
      </c>
      <c r="J200" s="42">
        <v>420</v>
      </c>
      <c r="K200" s="21">
        <v>312</v>
      </c>
      <c r="L200" s="21">
        <v>54</v>
      </c>
      <c r="M200" s="21">
        <v>8</v>
      </c>
      <c r="N200" s="21">
        <v>28</v>
      </c>
      <c r="O200" s="21">
        <v>36</v>
      </c>
      <c r="P200" s="21">
        <v>0</v>
      </c>
      <c r="Q200" s="21"/>
      <c r="R200" s="20">
        <f t="shared" si="20"/>
        <v>402</v>
      </c>
      <c r="S200" s="22">
        <f t="shared" si="21"/>
        <v>550016</v>
      </c>
      <c r="T200" s="22">
        <f>COUNTIF($V$4:V200,V200)</f>
        <v>4</v>
      </c>
      <c r="U200" s="22" t="str">
        <f>IF(T200=1,COUNTIF($T$4:T200,1),"")</f>
        <v/>
      </c>
      <c r="V200" s="23" t="str">
        <f t="shared" si="22"/>
        <v>清田区03認定こども園</v>
      </c>
      <c r="W200" s="23" t="str">
        <f t="shared" si="23"/>
        <v>認定こども園北野しらかば幼稚園・保育園</v>
      </c>
      <c r="X200" s="24">
        <v>196</v>
      </c>
      <c r="Y200" s="23"/>
      <c r="Z200" s="23"/>
      <c r="AA200" s="23"/>
      <c r="AB200" s="23"/>
      <c r="AC200" s="23"/>
      <c r="AD200" s="23"/>
      <c r="AE200" s="23"/>
      <c r="AF200" s="23"/>
      <c r="AG200" s="23"/>
    </row>
    <row r="201" spans="1:256" ht="11.25" customHeight="1" outlineLevel="1">
      <c r="A201" s="16">
        <v>550024</v>
      </c>
      <c r="B201" s="20" t="s">
        <v>199</v>
      </c>
      <c r="C201" s="20" t="s">
        <v>531</v>
      </c>
      <c r="D201" s="20" t="s">
        <v>1078</v>
      </c>
      <c r="E201" s="20" t="s">
        <v>221</v>
      </c>
      <c r="F201" s="21" t="s">
        <v>1316</v>
      </c>
      <c r="G201" s="21">
        <v>105</v>
      </c>
      <c r="H201" s="21">
        <v>47</v>
      </c>
      <c r="I201" s="21">
        <v>33</v>
      </c>
      <c r="J201" s="42">
        <v>185</v>
      </c>
      <c r="K201" s="21">
        <v>105</v>
      </c>
      <c r="L201" s="21">
        <v>47</v>
      </c>
      <c r="M201" s="21">
        <v>9</v>
      </c>
      <c r="N201" s="21">
        <v>24</v>
      </c>
      <c r="O201" s="21">
        <v>33</v>
      </c>
      <c r="P201" s="21">
        <v>0</v>
      </c>
      <c r="Q201" s="21"/>
      <c r="R201" s="20">
        <f t="shared" si="20"/>
        <v>185</v>
      </c>
      <c r="S201" s="22">
        <f t="shared" si="21"/>
        <v>550024</v>
      </c>
      <c r="T201" s="22">
        <f>COUNTIF($V$4:V201,V201)</f>
        <v>5</v>
      </c>
      <c r="U201" s="22" t="str">
        <f>IF(T201=1,COUNTIF($T$4:T201,1),"")</f>
        <v/>
      </c>
      <c r="V201" s="23" t="str">
        <f t="shared" si="22"/>
        <v>清田区03認定こども園</v>
      </c>
      <c r="W201" s="23" t="str">
        <f t="shared" si="23"/>
        <v>認定こども園ひかり</v>
      </c>
      <c r="X201" s="24">
        <v>197</v>
      </c>
      <c r="Y201" s="23"/>
    </row>
    <row r="202" spans="1:256" ht="11.25" customHeight="1" outlineLevel="1">
      <c r="A202" s="16">
        <v>550025</v>
      </c>
      <c r="B202" s="20" t="s">
        <v>199</v>
      </c>
      <c r="C202" s="20" t="s">
        <v>531</v>
      </c>
      <c r="D202" s="20" t="s">
        <v>1069</v>
      </c>
      <c r="E202" s="20" t="s">
        <v>221</v>
      </c>
      <c r="F202" s="21" t="s">
        <v>1142</v>
      </c>
      <c r="G202" s="21">
        <v>105</v>
      </c>
      <c r="H202" s="21">
        <v>47</v>
      </c>
      <c r="I202" s="21">
        <v>33</v>
      </c>
      <c r="J202" s="42">
        <v>185</v>
      </c>
      <c r="K202" s="21">
        <v>105</v>
      </c>
      <c r="L202" s="21">
        <v>47</v>
      </c>
      <c r="M202" s="21">
        <v>9</v>
      </c>
      <c r="N202" s="21">
        <v>24</v>
      </c>
      <c r="O202" s="21">
        <v>33</v>
      </c>
      <c r="P202" s="21">
        <v>0</v>
      </c>
      <c r="Q202" s="21"/>
      <c r="R202" s="20">
        <f t="shared" si="20"/>
        <v>185</v>
      </c>
      <c r="S202" s="22">
        <f t="shared" si="21"/>
        <v>550025</v>
      </c>
      <c r="T202" s="22">
        <f>COUNTIF($V$4:V202,V202)</f>
        <v>6</v>
      </c>
      <c r="U202" s="22" t="str">
        <f>IF(T202=1,COUNTIF($T$4:T202,1),"")</f>
        <v/>
      </c>
      <c r="V202" s="23" t="str">
        <f t="shared" si="22"/>
        <v>清田区03認定こども園</v>
      </c>
      <c r="W202" s="23" t="str">
        <f t="shared" si="23"/>
        <v>認定こども園つみき</v>
      </c>
      <c r="X202" s="24">
        <v>198</v>
      </c>
      <c r="Y202" s="23"/>
    </row>
    <row r="203" spans="1:256" ht="11.25" customHeight="1" outlineLevel="1">
      <c r="A203" s="16">
        <v>550038</v>
      </c>
      <c r="B203" s="20" t="s">
        <v>199</v>
      </c>
      <c r="C203" s="20" t="s">
        <v>531</v>
      </c>
      <c r="D203" s="20" t="s">
        <v>1069</v>
      </c>
      <c r="E203" s="20" t="s">
        <v>221</v>
      </c>
      <c r="F203" s="21" t="s">
        <v>1143</v>
      </c>
      <c r="G203" s="21">
        <v>150</v>
      </c>
      <c r="H203" s="21">
        <v>45</v>
      </c>
      <c r="I203" s="21">
        <v>15</v>
      </c>
      <c r="J203" s="42">
        <v>210</v>
      </c>
      <c r="K203" s="21">
        <v>120</v>
      </c>
      <c r="L203" s="21">
        <v>45</v>
      </c>
      <c r="M203" s="21">
        <v>5</v>
      </c>
      <c r="N203" s="21">
        <v>10</v>
      </c>
      <c r="O203" s="21">
        <v>15</v>
      </c>
      <c r="P203" s="21">
        <v>0</v>
      </c>
      <c r="Q203" s="21"/>
      <c r="R203" s="20">
        <f t="shared" si="20"/>
        <v>180</v>
      </c>
      <c r="S203" s="22">
        <f t="shared" si="21"/>
        <v>550038</v>
      </c>
      <c r="T203" s="22">
        <f>COUNTIF($V$4:V203,V203)</f>
        <v>7</v>
      </c>
      <c r="U203" s="22" t="str">
        <f>IF(T203=1,COUNTIF($T$4:T203,1),"")</f>
        <v/>
      </c>
      <c r="V203" s="23" t="str">
        <f t="shared" si="22"/>
        <v>清田区03認定こども園</v>
      </c>
      <c r="W203" s="23" t="str">
        <f t="shared" si="23"/>
        <v>札幌国際大学付属認定こども園</v>
      </c>
      <c r="X203" s="24">
        <v>199</v>
      </c>
      <c r="Y203" s="23"/>
    </row>
    <row r="204" spans="1:256" ht="11.25" customHeight="1" outlineLevel="1">
      <c r="A204" s="16">
        <v>550031</v>
      </c>
      <c r="B204" s="20" t="s">
        <v>199</v>
      </c>
      <c r="C204" s="20" t="s">
        <v>531</v>
      </c>
      <c r="D204" s="20" t="s">
        <v>1072</v>
      </c>
      <c r="E204" s="20" t="s">
        <v>221</v>
      </c>
      <c r="F204" s="21" t="s">
        <v>1317</v>
      </c>
      <c r="G204" s="21">
        <v>190</v>
      </c>
      <c r="H204" s="21">
        <v>30</v>
      </c>
      <c r="I204" s="21">
        <v>0</v>
      </c>
      <c r="J204" s="42">
        <v>220</v>
      </c>
      <c r="K204" s="21">
        <v>180</v>
      </c>
      <c r="L204" s="21">
        <v>30</v>
      </c>
      <c r="M204" s="21">
        <v>0</v>
      </c>
      <c r="N204" s="21">
        <v>0</v>
      </c>
      <c r="O204" s="21">
        <v>0</v>
      </c>
      <c r="P204" s="21">
        <v>0</v>
      </c>
      <c r="Q204" s="21"/>
      <c r="R204" s="20">
        <f t="shared" si="20"/>
        <v>210</v>
      </c>
      <c r="S204" s="22">
        <f t="shared" si="21"/>
        <v>550031</v>
      </c>
      <c r="T204" s="22">
        <f>COUNTIF($V$4:V204,V204)</f>
        <v>8</v>
      </c>
      <c r="U204" s="22" t="str">
        <f>IF(T204=1,COUNTIF($T$4:T204,1),"")</f>
        <v/>
      </c>
      <c r="V204" s="23" t="str">
        <f t="shared" si="22"/>
        <v>清田区03認定こども園</v>
      </c>
      <c r="W204" s="23" t="str">
        <f t="shared" si="23"/>
        <v>認定こども園札幌きたの幼稚園</v>
      </c>
      <c r="X204" s="24">
        <v>200</v>
      </c>
      <c r="Y204" s="23"/>
    </row>
    <row r="205" spans="1:256" ht="11.25" customHeight="1" outlineLevel="1">
      <c r="A205" s="16">
        <v>550002</v>
      </c>
      <c r="B205" s="20" t="s">
        <v>199</v>
      </c>
      <c r="C205" s="20" t="s">
        <v>531</v>
      </c>
      <c r="D205" s="20" t="s">
        <v>1067</v>
      </c>
      <c r="E205" s="20" t="s">
        <v>221</v>
      </c>
      <c r="F205" s="21" t="s">
        <v>1454</v>
      </c>
      <c r="G205" s="21">
        <v>15</v>
      </c>
      <c r="H205" s="21">
        <v>90</v>
      </c>
      <c r="I205" s="21">
        <v>70</v>
      </c>
      <c r="J205" s="42">
        <v>175</v>
      </c>
      <c r="K205" s="21">
        <v>15</v>
      </c>
      <c r="L205" s="21">
        <v>90</v>
      </c>
      <c r="M205" s="21">
        <v>15</v>
      </c>
      <c r="N205" s="21">
        <v>55</v>
      </c>
      <c r="O205" s="21">
        <v>70</v>
      </c>
      <c r="P205" s="21">
        <v>0</v>
      </c>
      <c r="Q205" s="21"/>
      <c r="R205" s="20">
        <f t="shared" si="20"/>
        <v>175</v>
      </c>
      <c r="S205" s="22">
        <f t="shared" si="21"/>
        <v>550002</v>
      </c>
      <c r="T205" s="22">
        <f>COUNTIF($V$4:V205,V205)</f>
        <v>9</v>
      </c>
      <c r="U205" s="22" t="str">
        <f>IF(T205=1,COUNTIF($T$4:T205,1),"")</f>
        <v/>
      </c>
      <c r="V205" s="23" t="str">
        <f t="shared" si="22"/>
        <v>清田区03認定こども園</v>
      </c>
      <c r="W205" s="23" t="str">
        <f t="shared" si="23"/>
        <v>認定こども園清田保育園</v>
      </c>
      <c r="X205" s="24">
        <v>201</v>
      </c>
      <c r="Y205" s="23"/>
    </row>
    <row r="206" spans="1:256" ht="11.25" customHeight="1" outlineLevel="1">
      <c r="A206" s="16">
        <v>550003</v>
      </c>
      <c r="B206" s="20" t="s">
        <v>199</v>
      </c>
      <c r="C206" s="20" t="s">
        <v>531</v>
      </c>
      <c r="D206" s="20" t="s">
        <v>1284</v>
      </c>
      <c r="E206" s="20" t="s">
        <v>221</v>
      </c>
      <c r="F206" s="21" t="s">
        <v>1667</v>
      </c>
      <c r="G206" s="21">
        <v>6</v>
      </c>
      <c r="H206" s="21">
        <v>78</v>
      </c>
      <c r="I206" s="21">
        <v>36</v>
      </c>
      <c r="J206" s="42">
        <v>120</v>
      </c>
      <c r="K206" s="21">
        <v>6</v>
      </c>
      <c r="L206" s="21">
        <v>54</v>
      </c>
      <c r="M206" s="21">
        <v>9</v>
      </c>
      <c r="N206" s="21">
        <v>27</v>
      </c>
      <c r="O206" s="21">
        <v>36</v>
      </c>
      <c r="P206" s="21">
        <v>0</v>
      </c>
      <c r="Q206" s="21"/>
      <c r="R206" s="20">
        <f t="shared" si="20"/>
        <v>96</v>
      </c>
      <c r="S206" s="22">
        <f t="shared" si="21"/>
        <v>550003</v>
      </c>
      <c r="T206" s="22">
        <f>COUNTIF($V$4:V206,V206)</f>
        <v>10</v>
      </c>
      <c r="U206" s="22" t="str">
        <f>IF(T206=1,COUNTIF($T$4:T206,1),"")</f>
        <v/>
      </c>
      <c r="V206" s="23" t="str">
        <f t="shared" si="22"/>
        <v>清田区03認定こども園</v>
      </c>
      <c r="W206" s="23" t="str">
        <f t="shared" si="23"/>
        <v>札幌北野保育園</v>
      </c>
      <c r="X206" s="24">
        <v>202</v>
      </c>
      <c r="Y206" s="23"/>
    </row>
    <row r="207" spans="1:256" ht="11.25" customHeight="1" outlineLevel="1">
      <c r="A207" s="16">
        <v>550004</v>
      </c>
      <c r="B207" s="20" t="s">
        <v>199</v>
      </c>
      <c r="C207" s="20" t="s">
        <v>531</v>
      </c>
      <c r="D207" s="20" t="s">
        <v>1067</v>
      </c>
      <c r="E207" s="20" t="s">
        <v>221</v>
      </c>
      <c r="F207" s="21" t="s">
        <v>1563</v>
      </c>
      <c r="G207" s="21">
        <v>6</v>
      </c>
      <c r="H207" s="21">
        <v>59</v>
      </c>
      <c r="I207" s="21">
        <v>25</v>
      </c>
      <c r="J207" s="42">
        <v>90</v>
      </c>
      <c r="K207" s="21">
        <v>6</v>
      </c>
      <c r="L207" s="21">
        <v>35</v>
      </c>
      <c r="M207" s="21">
        <v>5</v>
      </c>
      <c r="N207" s="21">
        <v>20</v>
      </c>
      <c r="O207" s="21">
        <v>25</v>
      </c>
      <c r="P207" s="21">
        <v>0</v>
      </c>
      <c r="Q207" s="21"/>
      <c r="R207" s="20">
        <f t="shared" si="20"/>
        <v>66</v>
      </c>
      <c r="S207" s="22">
        <f t="shared" si="21"/>
        <v>550004</v>
      </c>
      <c r="T207" s="22">
        <f>COUNTIF($V$4:V207,V207)</f>
        <v>11</v>
      </c>
      <c r="U207" s="22" t="str">
        <f>IF(T207=1,COUNTIF($T$4:T207,1),"")</f>
        <v/>
      </c>
      <c r="V207" s="23" t="str">
        <f t="shared" si="22"/>
        <v>清田区03認定こども園</v>
      </c>
      <c r="W207" s="23" t="str">
        <f t="shared" si="23"/>
        <v>認定こども園札幌南清田保育園</v>
      </c>
      <c r="X207" s="24">
        <v>203</v>
      </c>
      <c r="Y207" s="23"/>
    </row>
    <row r="208" spans="1:256" ht="11.25" customHeight="1" outlineLevel="1">
      <c r="A208" s="16">
        <v>550006</v>
      </c>
      <c r="B208" s="20" t="s">
        <v>199</v>
      </c>
      <c r="C208" s="20" t="s">
        <v>531</v>
      </c>
      <c r="D208" s="20" t="s">
        <v>1067</v>
      </c>
      <c r="E208" s="20" t="s">
        <v>221</v>
      </c>
      <c r="F208" s="21" t="s">
        <v>1564</v>
      </c>
      <c r="G208" s="21">
        <v>10</v>
      </c>
      <c r="H208" s="21">
        <v>54</v>
      </c>
      <c r="I208" s="21">
        <v>46</v>
      </c>
      <c r="J208" s="42">
        <v>110</v>
      </c>
      <c r="K208" s="21">
        <v>10</v>
      </c>
      <c r="L208" s="21">
        <v>54</v>
      </c>
      <c r="M208" s="21">
        <v>10</v>
      </c>
      <c r="N208" s="21">
        <v>36</v>
      </c>
      <c r="O208" s="21">
        <v>46</v>
      </c>
      <c r="P208" s="21">
        <v>0</v>
      </c>
      <c r="Q208" s="21"/>
      <c r="R208" s="20">
        <f t="shared" si="20"/>
        <v>110</v>
      </c>
      <c r="S208" s="22">
        <f t="shared" si="21"/>
        <v>550006</v>
      </c>
      <c r="T208" s="22">
        <f>COUNTIF($V$4:V208,V208)</f>
        <v>12</v>
      </c>
      <c r="U208" s="22" t="str">
        <f>IF(T208=1,COUNTIF($T$4:T208,1),"")</f>
        <v/>
      </c>
      <c r="V208" s="23" t="str">
        <f t="shared" si="22"/>
        <v>清田区03認定こども園</v>
      </c>
      <c r="W208" s="23" t="str">
        <f t="shared" si="23"/>
        <v>認定こども園札幌あさひ保育園</v>
      </c>
      <c r="X208" s="24">
        <v>204</v>
      </c>
      <c r="Y208" s="23"/>
    </row>
    <row r="209" spans="1:25" ht="11.25" customHeight="1" outlineLevel="1">
      <c r="A209" s="16">
        <v>550008</v>
      </c>
      <c r="B209" s="20" t="s">
        <v>199</v>
      </c>
      <c r="C209" s="20" t="s">
        <v>531</v>
      </c>
      <c r="D209" s="20" t="s">
        <v>1067</v>
      </c>
      <c r="E209" s="20" t="s">
        <v>221</v>
      </c>
      <c r="F209" s="21" t="s">
        <v>1565</v>
      </c>
      <c r="G209" s="21">
        <v>5</v>
      </c>
      <c r="H209" s="21">
        <v>32</v>
      </c>
      <c r="I209" s="21">
        <v>23</v>
      </c>
      <c r="J209" s="42">
        <v>60</v>
      </c>
      <c r="K209" s="21">
        <v>5</v>
      </c>
      <c r="L209" s="21">
        <v>27</v>
      </c>
      <c r="M209" s="21">
        <v>5</v>
      </c>
      <c r="N209" s="21">
        <v>18</v>
      </c>
      <c r="O209" s="21">
        <v>23</v>
      </c>
      <c r="P209" s="21">
        <v>0</v>
      </c>
      <c r="Q209" s="21"/>
      <c r="R209" s="20">
        <f t="shared" si="20"/>
        <v>55</v>
      </c>
      <c r="S209" s="22">
        <f t="shared" si="21"/>
        <v>550008</v>
      </c>
      <c r="T209" s="22">
        <f>COUNTIF($V$4:V209,V209)</f>
        <v>13</v>
      </c>
      <c r="U209" s="22" t="str">
        <f>IF(T209=1,COUNTIF($T$4:T209,1),"")</f>
        <v/>
      </c>
      <c r="V209" s="23" t="str">
        <f t="shared" si="22"/>
        <v>清田区03認定こども園</v>
      </c>
      <c r="W209" s="23" t="str">
        <f t="shared" si="23"/>
        <v>認定こども園札幌真栄東保育園</v>
      </c>
      <c r="X209" s="24">
        <v>205</v>
      </c>
      <c r="Y209" s="23"/>
    </row>
    <row r="210" spans="1:25" ht="11.25" customHeight="1" outlineLevel="1">
      <c r="A210" s="16">
        <v>550010</v>
      </c>
      <c r="B210" s="20" t="s">
        <v>199</v>
      </c>
      <c r="C210" s="20" t="s">
        <v>531</v>
      </c>
      <c r="D210" s="20" t="s">
        <v>1067</v>
      </c>
      <c r="E210" s="20" t="s">
        <v>221</v>
      </c>
      <c r="F210" s="21" t="s">
        <v>1455</v>
      </c>
      <c r="G210" s="21">
        <v>15</v>
      </c>
      <c r="H210" s="21">
        <v>48</v>
      </c>
      <c r="I210" s="21">
        <v>42</v>
      </c>
      <c r="J210" s="42">
        <v>105</v>
      </c>
      <c r="K210" s="21">
        <v>15</v>
      </c>
      <c r="L210" s="21">
        <v>48</v>
      </c>
      <c r="M210" s="21">
        <v>10</v>
      </c>
      <c r="N210" s="21">
        <v>32</v>
      </c>
      <c r="O210" s="21">
        <v>42</v>
      </c>
      <c r="P210" s="21">
        <v>0</v>
      </c>
      <c r="Q210" s="21"/>
      <c r="R210" s="20">
        <f t="shared" si="20"/>
        <v>105</v>
      </c>
      <c r="S210" s="22">
        <f t="shared" si="21"/>
        <v>550010</v>
      </c>
      <c r="T210" s="22">
        <f>COUNTIF($V$4:V210,V210)</f>
        <v>14</v>
      </c>
      <c r="U210" s="22" t="str">
        <f>IF(T210=1,COUNTIF($T$4:T210,1),"")</f>
        <v/>
      </c>
      <c r="V210" s="23" t="str">
        <f t="shared" si="22"/>
        <v>清田区03認定こども園</v>
      </c>
      <c r="W210" s="23" t="str">
        <f t="shared" si="23"/>
        <v>認定こども園札幌杉の子保育園</v>
      </c>
      <c r="X210" s="24">
        <v>206</v>
      </c>
      <c r="Y210" s="23"/>
    </row>
    <row r="211" spans="1:25" ht="11.25" customHeight="1" outlineLevel="1">
      <c r="A211" s="16">
        <v>550042</v>
      </c>
      <c r="B211" s="20" t="s">
        <v>199</v>
      </c>
      <c r="C211" s="20" t="s">
        <v>531</v>
      </c>
      <c r="D211" s="20" t="s">
        <v>1284</v>
      </c>
      <c r="E211" s="20" t="s">
        <v>221</v>
      </c>
      <c r="F211" s="21" t="s">
        <v>1668</v>
      </c>
      <c r="G211" s="21">
        <v>6</v>
      </c>
      <c r="H211" s="21">
        <v>36</v>
      </c>
      <c r="I211" s="21">
        <v>24</v>
      </c>
      <c r="J211" s="42">
        <v>66</v>
      </c>
      <c r="K211" s="21">
        <v>6</v>
      </c>
      <c r="L211" s="21">
        <v>36</v>
      </c>
      <c r="M211" s="21">
        <v>3</v>
      </c>
      <c r="N211" s="21">
        <v>21</v>
      </c>
      <c r="O211" s="21">
        <v>24</v>
      </c>
      <c r="P211" s="21">
        <v>0</v>
      </c>
      <c r="Q211" s="21"/>
      <c r="R211" s="20">
        <f t="shared" si="20"/>
        <v>66</v>
      </c>
      <c r="S211" s="22">
        <f t="shared" si="21"/>
        <v>550042</v>
      </c>
      <c r="T211" s="22">
        <f>COUNTIF($V$4:V211,V211)</f>
        <v>15</v>
      </c>
      <c r="U211" s="22" t="str">
        <f>IF(T211=1,COUNTIF($T$4:T211,1),"")</f>
        <v/>
      </c>
      <c r="V211" s="23" t="str">
        <f t="shared" si="22"/>
        <v>清田区03認定こども園</v>
      </c>
      <c r="W211" s="23" t="str">
        <f t="shared" si="23"/>
        <v>認定こども園緑ヶ丘保育園</v>
      </c>
      <c r="X211" s="24">
        <v>207</v>
      </c>
      <c r="Y211" s="23"/>
    </row>
    <row r="212" spans="1:25" ht="11.25" customHeight="1" outlineLevel="1">
      <c r="A212" s="16">
        <v>600005</v>
      </c>
      <c r="B212" s="20" t="s">
        <v>199</v>
      </c>
      <c r="C212" s="20" t="s">
        <v>531</v>
      </c>
      <c r="D212" s="20" t="s">
        <v>1078</v>
      </c>
      <c r="E212" s="20" t="s">
        <v>222</v>
      </c>
      <c r="F212" s="21" t="s">
        <v>1566</v>
      </c>
      <c r="G212" s="21">
        <v>9</v>
      </c>
      <c r="H212" s="21">
        <v>102</v>
      </c>
      <c r="I212" s="21">
        <v>39</v>
      </c>
      <c r="J212" s="42">
        <v>150</v>
      </c>
      <c r="K212" s="21">
        <v>9</v>
      </c>
      <c r="L212" s="21">
        <v>51</v>
      </c>
      <c r="M212" s="21">
        <v>5</v>
      </c>
      <c r="N212" s="21">
        <v>34</v>
      </c>
      <c r="O212" s="21">
        <v>39</v>
      </c>
      <c r="P212" s="21">
        <v>0</v>
      </c>
      <c r="Q212" s="21"/>
      <c r="R212" s="20">
        <f t="shared" si="20"/>
        <v>99</v>
      </c>
      <c r="S212" s="22">
        <f t="shared" si="21"/>
        <v>600005</v>
      </c>
      <c r="T212" s="22">
        <f>COUNTIF($V$4:V212,V212)</f>
        <v>1</v>
      </c>
      <c r="U212" s="22">
        <f>IF(T212=1,COUNTIF($T$4:T212,1),"")</f>
        <v>8</v>
      </c>
      <c r="V212" s="23" t="str">
        <f t="shared" si="22"/>
        <v>南区03認定こども園</v>
      </c>
      <c r="W212" s="23" t="str">
        <f t="shared" si="23"/>
        <v>認定こども園藻岩そらいろ保育園</v>
      </c>
      <c r="X212" s="24">
        <v>208</v>
      </c>
      <c r="Y212" s="23"/>
    </row>
    <row r="213" spans="1:25" ht="11.25" customHeight="1" outlineLevel="1">
      <c r="A213" s="16">
        <v>600009</v>
      </c>
      <c r="B213" s="20" t="s">
        <v>199</v>
      </c>
      <c r="C213" s="20" t="s">
        <v>531</v>
      </c>
      <c r="D213" s="20" t="s">
        <v>1069</v>
      </c>
      <c r="E213" s="20" t="s">
        <v>222</v>
      </c>
      <c r="F213" s="21" t="s">
        <v>1146</v>
      </c>
      <c r="G213" s="21">
        <v>15</v>
      </c>
      <c r="H213" s="21">
        <v>66</v>
      </c>
      <c r="I213" s="21">
        <v>54</v>
      </c>
      <c r="J213" s="42">
        <v>135</v>
      </c>
      <c r="K213" s="21">
        <v>15</v>
      </c>
      <c r="L213" s="21">
        <v>66</v>
      </c>
      <c r="M213" s="21">
        <v>18</v>
      </c>
      <c r="N213" s="21">
        <v>36</v>
      </c>
      <c r="O213" s="21">
        <v>54</v>
      </c>
      <c r="P213" s="21">
        <v>0</v>
      </c>
      <c r="Q213" s="21"/>
      <c r="R213" s="20">
        <f t="shared" si="20"/>
        <v>135</v>
      </c>
      <c r="S213" s="22">
        <f t="shared" si="21"/>
        <v>600009</v>
      </c>
      <c r="T213" s="22">
        <f>COUNTIF($V$4:V213,V213)</f>
        <v>2</v>
      </c>
      <c r="U213" s="22" t="str">
        <f>IF(T213=1,COUNTIF($T$4:T213,1),"")</f>
        <v/>
      </c>
      <c r="V213" s="23" t="str">
        <f t="shared" si="22"/>
        <v>南区03認定こども園</v>
      </c>
      <c r="W213" s="23" t="str">
        <f t="shared" si="23"/>
        <v>幼保連携型認定こども園澄川ひろのぶ保育園</v>
      </c>
      <c r="X213" s="24">
        <v>209</v>
      </c>
      <c r="Y213" s="23"/>
    </row>
    <row r="214" spans="1:25" ht="11.25" customHeight="1" outlineLevel="1">
      <c r="A214" s="16">
        <v>600024</v>
      </c>
      <c r="B214" s="20" t="s">
        <v>199</v>
      </c>
      <c r="C214" s="20" t="s">
        <v>531</v>
      </c>
      <c r="D214" s="20" t="s">
        <v>1069</v>
      </c>
      <c r="E214" s="20" t="s">
        <v>222</v>
      </c>
      <c r="F214" s="21" t="s">
        <v>223</v>
      </c>
      <c r="G214" s="21">
        <v>130</v>
      </c>
      <c r="H214" s="21">
        <v>50</v>
      </c>
      <c r="I214" s="21">
        <v>30</v>
      </c>
      <c r="J214" s="42">
        <v>210</v>
      </c>
      <c r="K214" s="21">
        <v>105</v>
      </c>
      <c r="L214" s="21">
        <v>50</v>
      </c>
      <c r="M214" s="21">
        <v>6</v>
      </c>
      <c r="N214" s="21">
        <v>24</v>
      </c>
      <c r="O214" s="21">
        <v>30</v>
      </c>
      <c r="P214" s="21">
        <v>0</v>
      </c>
      <c r="Q214" s="21"/>
      <c r="R214" s="20">
        <f t="shared" si="20"/>
        <v>185</v>
      </c>
      <c r="S214" s="22">
        <f t="shared" si="21"/>
        <v>600024</v>
      </c>
      <c r="T214" s="22">
        <f>COUNTIF($V$4:V214,V214)</f>
        <v>3</v>
      </c>
      <c r="U214" s="22" t="str">
        <f>IF(T214=1,COUNTIF($T$4:T214,1),"")</f>
        <v/>
      </c>
      <c r="V214" s="23" t="str">
        <f t="shared" si="22"/>
        <v>南区03認定こども園</v>
      </c>
      <c r="W214" s="23" t="str">
        <f t="shared" si="23"/>
        <v>認定こども園そらいろ</v>
      </c>
      <c r="X214" s="24">
        <v>210</v>
      </c>
      <c r="Y214" s="23"/>
    </row>
    <row r="215" spans="1:25" ht="11.25" customHeight="1" outlineLevel="1">
      <c r="A215" s="16">
        <v>600028</v>
      </c>
      <c r="B215" s="20" t="s">
        <v>199</v>
      </c>
      <c r="C215" s="20" t="s">
        <v>531</v>
      </c>
      <c r="D215" s="20" t="s">
        <v>1069</v>
      </c>
      <c r="E215" s="20" t="s">
        <v>222</v>
      </c>
      <c r="F215" s="21" t="s">
        <v>1587</v>
      </c>
      <c r="G215" s="21">
        <v>57</v>
      </c>
      <c r="H215" s="21">
        <v>13</v>
      </c>
      <c r="I215" s="21">
        <v>12</v>
      </c>
      <c r="J215" s="42">
        <v>82</v>
      </c>
      <c r="K215" s="21">
        <v>57</v>
      </c>
      <c r="L215" s="21">
        <v>13</v>
      </c>
      <c r="M215" s="21">
        <v>4</v>
      </c>
      <c r="N215" s="21">
        <v>8</v>
      </c>
      <c r="O215" s="21">
        <v>12</v>
      </c>
      <c r="P215" s="21">
        <v>0</v>
      </c>
      <c r="Q215" s="21"/>
      <c r="R215" s="20">
        <f t="shared" si="20"/>
        <v>82</v>
      </c>
      <c r="S215" s="22">
        <f t="shared" si="21"/>
        <v>600028</v>
      </c>
      <c r="T215" s="22">
        <f>COUNTIF($V$4:V215,V215)</f>
        <v>4</v>
      </c>
      <c r="U215" s="22" t="str">
        <f>IF(T215=1,COUNTIF($T$4:T215,1),"")</f>
        <v/>
      </c>
      <c r="V215" s="23" t="str">
        <f t="shared" si="22"/>
        <v>南区03認定こども園</v>
      </c>
      <c r="W215" s="23" t="str">
        <f t="shared" si="23"/>
        <v>真駒内聖母認定こども園</v>
      </c>
      <c r="X215" s="24">
        <v>211</v>
      </c>
      <c r="Y215" s="23"/>
    </row>
    <row r="216" spans="1:25" ht="11.25" customHeight="1" outlineLevel="1">
      <c r="A216" s="16">
        <v>600038</v>
      </c>
      <c r="B216" s="20" t="s">
        <v>199</v>
      </c>
      <c r="C216" s="20" t="s">
        <v>531</v>
      </c>
      <c r="D216" s="20" t="s">
        <v>1078</v>
      </c>
      <c r="E216" s="20" t="s">
        <v>222</v>
      </c>
      <c r="F216" s="21" t="s">
        <v>1319</v>
      </c>
      <c r="G216" s="21">
        <v>30</v>
      </c>
      <c r="H216" s="21">
        <v>27</v>
      </c>
      <c r="I216" s="21">
        <v>18</v>
      </c>
      <c r="J216" s="42">
        <v>75</v>
      </c>
      <c r="K216" s="21">
        <v>30</v>
      </c>
      <c r="L216" s="21">
        <v>27</v>
      </c>
      <c r="M216" s="21">
        <v>2</v>
      </c>
      <c r="N216" s="21">
        <v>16</v>
      </c>
      <c r="O216" s="21">
        <v>18</v>
      </c>
      <c r="P216" s="21">
        <v>0</v>
      </c>
      <c r="Q216" s="21"/>
      <c r="R216" s="20">
        <f t="shared" si="20"/>
        <v>75</v>
      </c>
      <c r="S216" s="22">
        <f t="shared" si="21"/>
        <v>600038</v>
      </c>
      <c r="T216" s="22">
        <f>COUNTIF($V$4:V216,V216)</f>
        <v>5</v>
      </c>
      <c r="U216" s="22" t="str">
        <f>IF(T216=1,COUNTIF($T$4:T216,1),"")</f>
        <v/>
      </c>
      <c r="V216" s="23" t="str">
        <f t="shared" si="22"/>
        <v>南区03認定こども園</v>
      </c>
      <c r="W216" s="23" t="str">
        <f t="shared" si="23"/>
        <v>認定こども園まこまない明星幼稚園</v>
      </c>
      <c r="X216" s="24">
        <v>212</v>
      </c>
      <c r="Y216" s="23"/>
    </row>
    <row r="217" spans="1:25" outlineLevel="1">
      <c r="A217" s="16">
        <v>600039</v>
      </c>
      <c r="B217" s="20" t="s">
        <v>199</v>
      </c>
      <c r="C217" s="20" t="s">
        <v>531</v>
      </c>
      <c r="D217" s="20" t="s">
        <v>1069</v>
      </c>
      <c r="E217" s="20" t="s">
        <v>222</v>
      </c>
      <c r="F217" s="21" t="s">
        <v>1669</v>
      </c>
      <c r="G217" s="21">
        <v>160</v>
      </c>
      <c r="H217" s="21">
        <v>40</v>
      </c>
      <c r="I217" s="21">
        <v>15</v>
      </c>
      <c r="J217" s="42">
        <v>215</v>
      </c>
      <c r="K217" s="21">
        <v>135</v>
      </c>
      <c r="L217" s="21">
        <v>40</v>
      </c>
      <c r="M217" s="21">
        <v>3</v>
      </c>
      <c r="N217" s="21">
        <v>12</v>
      </c>
      <c r="O217" s="21">
        <v>15</v>
      </c>
      <c r="P217" s="21">
        <v>0</v>
      </c>
      <c r="Q217" s="21"/>
      <c r="R217" s="20">
        <f t="shared" si="20"/>
        <v>190</v>
      </c>
      <c r="S217" s="22">
        <f t="shared" si="21"/>
        <v>600039</v>
      </c>
      <c r="T217" s="22">
        <f>COUNTIF($V$4:V217,V217)</f>
        <v>6</v>
      </c>
      <c r="U217" s="22" t="str">
        <f>IF(T217=1,COUNTIF($T$4:T217,1),"")</f>
        <v/>
      </c>
      <c r="V217" s="23" t="str">
        <f t="shared" si="22"/>
        <v>南区03認定こども園</v>
      </c>
      <c r="W217" s="23" t="str">
        <f t="shared" si="23"/>
        <v>光塩学園短期大学附属認定こども園</v>
      </c>
      <c r="X217" s="24">
        <v>213</v>
      </c>
      <c r="Y217" s="23"/>
    </row>
    <row r="218" spans="1:25" ht="11.25" customHeight="1" outlineLevel="1">
      <c r="A218" s="16">
        <v>600042</v>
      </c>
      <c r="B218" s="20" t="s">
        <v>199</v>
      </c>
      <c r="C218" s="20" t="s">
        <v>531</v>
      </c>
      <c r="D218" s="20" t="s">
        <v>1069</v>
      </c>
      <c r="E218" s="20" t="s">
        <v>222</v>
      </c>
      <c r="F218" s="21" t="s">
        <v>1318</v>
      </c>
      <c r="G218" s="21">
        <v>78</v>
      </c>
      <c r="H218" s="21">
        <v>60</v>
      </c>
      <c r="I218" s="21">
        <v>30</v>
      </c>
      <c r="J218" s="42">
        <v>168</v>
      </c>
      <c r="K218" s="21">
        <v>78</v>
      </c>
      <c r="L218" s="21">
        <v>60</v>
      </c>
      <c r="M218" s="21">
        <v>6</v>
      </c>
      <c r="N218" s="21">
        <v>24</v>
      </c>
      <c r="O218" s="21">
        <v>30</v>
      </c>
      <c r="P218" s="21">
        <v>0</v>
      </c>
      <c r="Q218" s="21"/>
      <c r="R218" s="20">
        <f t="shared" si="20"/>
        <v>168</v>
      </c>
      <c r="S218" s="22">
        <f t="shared" si="21"/>
        <v>600042</v>
      </c>
      <c r="T218" s="22">
        <f>COUNTIF($V$4:V218,V218)</f>
        <v>7</v>
      </c>
      <c r="U218" s="22" t="str">
        <f>IF(T218=1,COUNTIF($T$4:T218,1),"")</f>
        <v/>
      </c>
      <c r="V218" s="23" t="str">
        <f t="shared" si="22"/>
        <v>南区03認定こども園</v>
      </c>
      <c r="W218" s="23" t="str">
        <f t="shared" si="23"/>
        <v>幼保連携型認定こども園ときわみなみのこどもえん</v>
      </c>
      <c r="X218" s="24">
        <v>214</v>
      </c>
      <c r="Y218" s="23"/>
    </row>
    <row r="219" spans="1:25" ht="11.25" customHeight="1" outlineLevel="1">
      <c r="A219" s="16">
        <v>600002</v>
      </c>
      <c r="B219" s="20" t="s">
        <v>199</v>
      </c>
      <c r="C219" s="20" t="s">
        <v>531</v>
      </c>
      <c r="D219" s="20" t="s">
        <v>1067</v>
      </c>
      <c r="E219" s="20" t="s">
        <v>222</v>
      </c>
      <c r="F219" s="21" t="s">
        <v>1320</v>
      </c>
      <c r="G219" s="21">
        <v>5</v>
      </c>
      <c r="H219" s="21">
        <v>22</v>
      </c>
      <c r="I219" s="21">
        <v>18</v>
      </c>
      <c r="J219" s="42">
        <v>45</v>
      </c>
      <c r="K219" s="21">
        <v>5</v>
      </c>
      <c r="L219" s="21">
        <v>17</v>
      </c>
      <c r="M219" s="21">
        <v>3</v>
      </c>
      <c r="N219" s="21">
        <v>10</v>
      </c>
      <c r="O219" s="21">
        <v>13</v>
      </c>
      <c r="P219" s="21">
        <v>0</v>
      </c>
      <c r="Q219" s="21"/>
      <c r="R219" s="20">
        <f t="shared" si="20"/>
        <v>35</v>
      </c>
      <c r="S219" s="22">
        <f t="shared" si="21"/>
        <v>600002</v>
      </c>
      <c r="T219" s="22">
        <f>COUNTIF($V$4:V219,V219)</f>
        <v>8</v>
      </c>
      <c r="U219" s="22" t="str">
        <f>IF(T219=1,COUNTIF($T$4:T219,1),"")</f>
        <v/>
      </c>
      <c r="V219" s="23" t="str">
        <f t="shared" si="22"/>
        <v>南区03認定こども園</v>
      </c>
      <c r="W219" s="23" t="str">
        <f t="shared" si="23"/>
        <v>認定こども園定山渓保育園</v>
      </c>
      <c r="X219" s="24">
        <v>215</v>
      </c>
      <c r="Y219" s="23"/>
    </row>
    <row r="220" spans="1:25" ht="11.25" customHeight="1" outlineLevel="1">
      <c r="A220" s="16">
        <v>600003</v>
      </c>
      <c r="B220" s="20" t="s">
        <v>199</v>
      </c>
      <c r="C220" s="20" t="s">
        <v>531</v>
      </c>
      <c r="D220" s="20" t="s">
        <v>1284</v>
      </c>
      <c r="E220" s="20" t="s">
        <v>222</v>
      </c>
      <c r="F220" s="21" t="s">
        <v>1670</v>
      </c>
      <c r="G220" s="21">
        <v>9</v>
      </c>
      <c r="H220" s="21">
        <v>74</v>
      </c>
      <c r="I220" s="21">
        <v>56</v>
      </c>
      <c r="J220" s="42">
        <v>139</v>
      </c>
      <c r="K220" s="21">
        <v>9</v>
      </c>
      <c r="L220" s="21">
        <v>74</v>
      </c>
      <c r="M220" s="21">
        <v>14</v>
      </c>
      <c r="N220" s="21">
        <v>42</v>
      </c>
      <c r="O220" s="21">
        <v>56</v>
      </c>
      <c r="P220" s="21">
        <v>0</v>
      </c>
      <c r="Q220" s="21"/>
      <c r="R220" s="20">
        <f t="shared" si="20"/>
        <v>139</v>
      </c>
      <c r="S220" s="22">
        <f t="shared" si="21"/>
        <v>600003</v>
      </c>
      <c r="T220" s="22">
        <f>COUNTIF($V$4:V220,V220)</f>
        <v>9</v>
      </c>
      <c r="U220" s="22" t="str">
        <f>IF(T220=1,COUNTIF($T$4:T220,1),"")</f>
        <v/>
      </c>
      <c r="V220" s="23" t="str">
        <f t="shared" si="22"/>
        <v>南区03認定こども園</v>
      </c>
      <c r="W220" s="23" t="str">
        <f t="shared" si="23"/>
        <v>真駒内保育園</v>
      </c>
      <c r="X220" s="24">
        <v>216</v>
      </c>
      <c r="Y220" s="23"/>
    </row>
    <row r="221" spans="1:25" ht="11.25" customHeight="1" outlineLevel="1">
      <c r="A221" s="16">
        <v>600004</v>
      </c>
      <c r="B221" s="20" t="s">
        <v>199</v>
      </c>
      <c r="C221" s="20" t="s">
        <v>531</v>
      </c>
      <c r="D221" s="20" t="s">
        <v>1067</v>
      </c>
      <c r="E221" s="20" t="s">
        <v>222</v>
      </c>
      <c r="F221" s="21" t="s">
        <v>1321</v>
      </c>
      <c r="G221" s="21">
        <v>15</v>
      </c>
      <c r="H221" s="21">
        <v>66</v>
      </c>
      <c r="I221" s="21">
        <v>54</v>
      </c>
      <c r="J221" s="42">
        <v>135</v>
      </c>
      <c r="K221" s="21">
        <v>15</v>
      </c>
      <c r="L221" s="21">
        <v>62</v>
      </c>
      <c r="M221" s="21">
        <v>12</v>
      </c>
      <c r="N221" s="21">
        <v>36</v>
      </c>
      <c r="O221" s="21">
        <v>48</v>
      </c>
      <c r="P221" s="21">
        <v>0</v>
      </c>
      <c r="Q221" s="21"/>
      <c r="R221" s="20">
        <f t="shared" si="20"/>
        <v>125</v>
      </c>
      <c r="S221" s="22">
        <f t="shared" si="21"/>
        <v>600004</v>
      </c>
      <c r="T221" s="22">
        <f>COUNTIF($V$4:V221,V221)</f>
        <v>10</v>
      </c>
      <c r="U221" s="22" t="str">
        <f>IF(T221=1,COUNTIF($T$4:T221,1),"")</f>
        <v/>
      </c>
      <c r="V221" s="23" t="str">
        <f t="shared" si="22"/>
        <v>南区03認定こども園</v>
      </c>
      <c r="W221" s="23" t="str">
        <f t="shared" si="23"/>
        <v>認定こども園澄川保育園</v>
      </c>
      <c r="X221" s="24">
        <v>217</v>
      </c>
      <c r="Y221" s="23"/>
    </row>
    <row r="222" spans="1:25" ht="11.25" customHeight="1" outlineLevel="1">
      <c r="A222" s="16">
        <v>600006</v>
      </c>
      <c r="B222" s="20" t="s">
        <v>199</v>
      </c>
      <c r="C222" s="20" t="s">
        <v>531</v>
      </c>
      <c r="D222" s="20" t="s">
        <v>1067</v>
      </c>
      <c r="E222" s="20" t="s">
        <v>222</v>
      </c>
      <c r="F222" s="21" t="s">
        <v>1144</v>
      </c>
      <c r="G222" s="21">
        <v>15</v>
      </c>
      <c r="H222" s="21">
        <v>69</v>
      </c>
      <c r="I222" s="21">
        <v>51</v>
      </c>
      <c r="J222" s="42">
        <v>135</v>
      </c>
      <c r="K222" s="21">
        <v>15</v>
      </c>
      <c r="L222" s="21">
        <v>69</v>
      </c>
      <c r="M222" s="21">
        <v>10</v>
      </c>
      <c r="N222" s="21">
        <v>41</v>
      </c>
      <c r="O222" s="21">
        <v>51</v>
      </c>
      <c r="P222" s="21">
        <v>0</v>
      </c>
      <c r="Q222" s="21"/>
      <c r="R222" s="20">
        <f t="shared" si="20"/>
        <v>135</v>
      </c>
      <c r="S222" s="22">
        <f t="shared" si="21"/>
        <v>600006</v>
      </c>
      <c r="T222" s="22">
        <f>COUNTIF($V$4:V222,V222)</f>
        <v>11</v>
      </c>
      <c r="U222" s="22" t="str">
        <f>IF(T222=1,COUNTIF($T$4:T222,1),"")</f>
        <v/>
      </c>
      <c r="V222" s="23" t="str">
        <f t="shared" si="22"/>
        <v>南区03認定こども園</v>
      </c>
      <c r="W222" s="23" t="str">
        <f t="shared" si="23"/>
        <v>認定こども園札幌石山保育園</v>
      </c>
      <c r="X222" s="24">
        <v>218</v>
      </c>
      <c r="Y222" s="23"/>
    </row>
    <row r="223" spans="1:25" ht="11.25" customHeight="1" outlineLevel="1">
      <c r="A223" s="16">
        <v>600007</v>
      </c>
      <c r="B223" s="20" t="s">
        <v>199</v>
      </c>
      <c r="C223" s="20" t="s">
        <v>531</v>
      </c>
      <c r="D223" s="20" t="s">
        <v>1067</v>
      </c>
      <c r="E223" s="20" t="s">
        <v>222</v>
      </c>
      <c r="F223" s="21" t="s">
        <v>1145</v>
      </c>
      <c r="G223" s="21">
        <v>10</v>
      </c>
      <c r="H223" s="21">
        <v>81</v>
      </c>
      <c r="I223" s="21">
        <v>69</v>
      </c>
      <c r="J223" s="42">
        <v>160</v>
      </c>
      <c r="K223" s="21">
        <v>10</v>
      </c>
      <c r="L223" s="21">
        <v>81</v>
      </c>
      <c r="M223" s="21">
        <v>15</v>
      </c>
      <c r="N223" s="21">
        <v>54</v>
      </c>
      <c r="O223" s="21">
        <v>69</v>
      </c>
      <c r="P223" s="21">
        <v>0</v>
      </c>
      <c r="Q223" s="21"/>
      <c r="R223" s="20">
        <f t="shared" si="20"/>
        <v>160</v>
      </c>
      <c r="S223" s="22">
        <f t="shared" si="21"/>
        <v>600007</v>
      </c>
      <c r="T223" s="22">
        <f>COUNTIF($V$4:V223,V223)</f>
        <v>12</v>
      </c>
      <c r="U223" s="22" t="str">
        <f>IF(T223=1,COUNTIF($T$4:T223,1),"")</f>
        <v/>
      </c>
      <c r="V223" s="23" t="str">
        <f t="shared" si="22"/>
        <v>南区03認定こども園</v>
      </c>
      <c r="W223" s="23" t="str">
        <f t="shared" si="23"/>
        <v>もいわ中央こども園</v>
      </c>
      <c r="X223" s="24">
        <v>219</v>
      </c>
      <c r="Y223" s="23"/>
    </row>
    <row r="224" spans="1:25" ht="11.25" customHeight="1" outlineLevel="1">
      <c r="A224" s="16">
        <v>600008</v>
      </c>
      <c r="B224" s="20" t="s">
        <v>199</v>
      </c>
      <c r="C224" s="20" t="s">
        <v>531</v>
      </c>
      <c r="D224" s="20" t="s">
        <v>1067</v>
      </c>
      <c r="E224" s="20" t="s">
        <v>222</v>
      </c>
      <c r="F224" s="21" t="s">
        <v>1567</v>
      </c>
      <c r="G224" s="21">
        <v>15</v>
      </c>
      <c r="H224" s="21">
        <v>90</v>
      </c>
      <c r="I224" s="21">
        <v>60</v>
      </c>
      <c r="J224" s="42">
        <v>165</v>
      </c>
      <c r="K224" s="21">
        <v>15</v>
      </c>
      <c r="L224" s="21">
        <v>90</v>
      </c>
      <c r="M224" s="21">
        <v>12</v>
      </c>
      <c r="N224" s="21">
        <v>48</v>
      </c>
      <c r="O224" s="21">
        <v>60</v>
      </c>
      <c r="P224" s="21">
        <v>0</v>
      </c>
      <c r="Q224" s="21"/>
      <c r="R224" s="20">
        <f t="shared" si="20"/>
        <v>165</v>
      </c>
      <c r="S224" s="22">
        <f t="shared" si="21"/>
        <v>600008</v>
      </c>
      <c r="T224" s="22">
        <f>COUNTIF($V$4:V224,V224)</f>
        <v>13</v>
      </c>
      <c r="U224" s="22" t="str">
        <f>IF(T224=1,COUNTIF($T$4:T224,1),"")</f>
        <v/>
      </c>
      <c r="V224" s="23" t="str">
        <f t="shared" si="22"/>
        <v>南区03認定こども園</v>
      </c>
      <c r="W224" s="23" t="str">
        <f t="shared" si="23"/>
        <v>認定こども園まこまないみどりまち保育園</v>
      </c>
      <c r="X224" s="24">
        <v>220</v>
      </c>
      <c r="Y224" s="23"/>
    </row>
    <row r="225" spans="1:25" outlineLevel="1">
      <c r="A225" s="16">
        <v>600013</v>
      </c>
      <c r="B225" s="20" t="s">
        <v>199</v>
      </c>
      <c r="C225" s="20" t="s">
        <v>531</v>
      </c>
      <c r="D225" s="20" t="s">
        <v>1284</v>
      </c>
      <c r="E225" s="20" t="s">
        <v>222</v>
      </c>
      <c r="F225" s="21" t="s">
        <v>1671</v>
      </c>
      <c r="G225" s="21">
        <v>6</v>
      </c>
      <c r="H225" s="21">
        <v>33</v>
      </c>
      <c r="I225" s="21">
        <v>27</v>
      </c>
      <c r="J225" s="42">
        <v>66</v>
      </c>
      <c r="K225" s="21">
        <v>6</v>
      </c>
      <c r="L225" s="21">
        <v>33</v>
      </c>
      <c r="M225" s="21">
        <v>6</v>
      </c>
      <c r="N225" s="21">
        <v>21</v>
      </c>
      <c r="O225" s="21">
        <v>27</v>
      </c>
      <c r="P225" s="21">
        <v>0</v>
      </c>
      <c r="Q225" s="21"/>
      <c r="R225" s="20">
        <f t="shared" si="20"/>
        <v>66</v>
      </c>
      <c r="S225" s="22">
        <f t="shared" si="21"/>
        <v>600013</v>
      </c>
      <c r="T225" s="22">
        <f>COUNTIF($V$4:V225,V225)</f>
        <v>14</v>
      </c>
      <c r="U225" s="22" t="str">
        <f>IF(T225=1,COUNTIF($T$4:T225,1),"")</f>
        <v/>
      </c>
      <c r="V225" s="23" t="str">
        <f t="shared" si="22"/>
        <v>南区03認定こども園</v>
      </c>
      <c r="W225" s="23" t="str">
        <f t="shared" si="23"/>
        <v>くまの子保育園</v>
      </c>
      <c r="X225" s="24">
        <v>221</v>
      </c>
      <c r="Y225" s="23"/>
    </row>
    <row r="226" spans="1:25" outlineLevel="1">
      <c r="A226" s="16">
        <v>700022</v>
      </c>
      <c r="B226" s="20" t="s">
        <v>199</v>
      </c>
      <c r="C226" s="20" t="s">
        <v>531</v>
      </c>
      <c r="D226" s="20" t="s">
        <v>1078</v>
      </c>
      <c r="E226" s="20" t="s">
        <v>224</v>
      </c>
      <c r="F226" s="21" t="s">
        <v>1456</v>
      </c>
      <c r="G226" s="21">
        <v>12</v>
      </c>
      <c r="H226" s="21">
        <v>45</v>
      </c>
      <c r="I226" s="21">
        <v>45</v>
      </c>
      <c r="J226" s="42">
        <v>102</v>
      </c>
      <c r="K226" s="21">
        <v>12</v>
      </c>
      <c r="L226" s="21">
        <v>45</v>
      </c>
      <c r="M226" s="21">
        <v>15</v>
      </c>
      <c r="N226" s="21">
        <v>30</v>
      </c>
      <c r="O226" s="21">
        <v>45</v>
      </c>
      <c r="P226" s="21">
        <v>0</v>
      </c>
      <c r="Q226" s="21"/>
      <c r="R226" s="20">
        <f t="shared" si="20"/>
        <v>102</v>
      </c>
      <c r="S226" s="22">
        <f t="shared" si="21"/>
        <v>700022</v>
      </c>
      <c r="T226" s="22">
        <f>COUNTIF($V$4:V226,V226)</f>
        <v>1</v>
      </c>
      <c r="U226" s="22">
        <f>IF(T226=1,COUNTIF($T$4:T226,1),"")</f>
        <v>9</v>
      </c>
      <c r="V226" s="23" t="str">
        <f t="shared" si="22"/>
        <v>西区03認定こども園</v>
      </c>
      <c r="W226" s="23" t="str">
        <f t="shared" si="23"/>
        <v>認定こども園宮の沢すずらん</v>
      </c>
      <c r="X226" s="24">
        <v>222</v>
      </c>
      <c r="Y226" s="23"/>
    </row>
    <row r="227" spans="1:25" outlineLevel="1">
      <c r="A227" s="16">
        <v>700037</v>
      </c>
      <c r="B227" s="20" t="s">
        <v>199</v>
      </c>
      <c r="C227" s="20" t="s">
        <v>531</v>
      </c>
      <c r="D227" s="20" t="s">
        <v>1069</v>
      </c>
      <c r="E227" s="20" t="s">
        <v>224</v>
      </c>
      <c r="F227" s="21" t="s">
        <v>226</v>
      </c>
      <c r="G227" s="21">
        <v>215</v>
      </c>
      <c r="H227" s="21">
        <v>30</v>
      </c>
      <c r="I227" s="21">
        <v>30</v>
      </c>
      <c r="J227" s="42">
        <v>275</v>
      </c>
      <c r="K227" s="21">
        <v>215</v>
      </c>
      <c r="L227" s="21">
        <v>30</v>
      </c>
      <c r="M227" s="21">
        <v>10</v>
      </c>
      <c r="N227" s="21">
        <v>20</v>
      </c>
      <c r="O227" s="21">
        <v>30</v>
      </c>
      <c r="P227" s="21">
        <v>0</v>
      </c>
      <c r="Q227" s="21"/>
      <c r="R227" s="20">
        <f t="shared" si="20"/>
        <v>275</v>
      </c>
      <c r="S227" s="22">
        <f t="shared" si="21"/>
        <v>700037</v>
      </c>
      <c r="T227" s="22">
        <f>COUNTIF($V$4:V227,V227)</f>
        <v>2</v>
      </c>
      <c r="U227" s="22" t="str">
        <f>IF(T227=1,COUNTIF($T$4:T227,1),"")</f>
        <v/>
      </c>
      <c r="V227" s="23" t="str">
        <f t="shared" si="22"/>
        <v>西区03認定こども園</v>
      </c>
      <c r="W227" s="23" t="str">
        <f t="shared" si="23"/>
        <v>発寒にこりんこども園</v>
      </c>
      <c r="X227" s="24">
        <v>223</v>
      </c>
      <c r="Y227" s="23"/>
    </row>
    <row r="228" spans="1:25" outlineLevel="1">
      <c r="A228" s="16">
        <v>700048</v>
      </c>
      <c r="B228" s="20" t="s">
        <v>199</v>
      </c>
      <c r="C228" s="20" t="s">
        <v>531</v>
      </c>
      <c r="D228" s="20" t="s">
        <v>1078</v>
      </c>
      <c r="E228" s="20" t="s">
        <v>224</v>
      </c>
      <c r="F228" s="21" t="s">
        <v>1323</v>
      </c>
      <c r="G228" s="21">
        <v>44</v>
      </c>
      <c r="H228" s="21">
        <v>48</v>
      </c>
      <c r="I228" s="21">
        <v>28</v>
      </c>
      <c r="J228" s="42">
        <v>120</v>
      </c>
      <c r="K228" s="21">
        <v>44</v>
      </c>
      <c r="L228" s="21">
        <v>48</v>
      </c>
      <c r="M228" s="21">
        <v>4</v>
      </c>
      <c r="N228" s="21">
        <v>24</v>
      </c>
      <c r="O228" s="21">
        <v>28</v>
      </c>
      <c r="P228" s="21">
        <v>0</v>
      </c>
      <c r="Q228" s="21"/>
      <c r="R228" s="20">
        <f t="shared" si="20"/>
        <v>120</v>
      </c>
      <c r="S228" s="22">
        <f t="shared" si="21"/>
        <v>700048</v>
      </c>
      <c r="T228" s="22">
        <f>COUNTIF($V$4:V228,V228)</f>
        <v>3</v>
      </c>
      <c r="U228" s="22" t="str">
        <f>IF(T228=1,COUNTIF($T$4:T228,1),"")</f>
        <v/>
      </c>
      <c r="V228" s="23" t="str">
        <f t="shared" si="22"/>
        <v>西区03認定こども園</v>
      </c>
      <c r="W228" s="23" t="str">
        <f t="shared" si="23"/>
        <v>認定こども園琴似教会幼稚園</v>
      </c>
      <c r="X228" s="24">
        <v>224</v>
      </c>
      <c r="Y228" s="23"/>
    </row>
    <row r="229" spans="1:25" ht="11.25" customHeight="1" outlineLevel="1">
      <c r="A229" s="16">
        <v>700069</v>
      </c>
      <c r="B229" s="20" t="s">
        <v>199</v>
      </c>
      <c r="C229" s="20" t="s">
        <v>531</v>
      </c>
      <c r="D229" s="20" t="s">
        <v>1069</v>
      </c>
      <c r="E229" s="20" t="s">
        <v>224</v>
      </c>
      <c r="F229" s="21" t="s">
        <v>1149</v>
      </c>
      <c r="G229" s="21">
        <v>15</v>
      </c>
      <c r="H229" s="21">
        <v>49</v>
      </c>
      <c r="I229" s="21">
        <v>41</v>
      </c>
      <c r="J229" s="42">
        <v>105</v>
      </c>
      <c r="K229" s="21">
        <v>15</v>
      </c>
      <c r="L229" s="21">
        <v>49</v>
      </c>
      <c r="M229" s="21">
        <v>9</v>
      </c>
      <c r="N229" s="21">
        <v>32</v>
      </c>
      <c r="O229" s="21">
        <v>41</v>
      </c>
      <c r="P229" s="21">
        <v>0</v>
      </c>
      <c r="Q229" s="21"/>
      <c r="R229" s="20">
        <f t="shared" si="20"/>
        <v>105</v>
      </c>
      <c r="S229" s="22">
        <f t="shared" si="21"/>
        <v>700069</v>
      </c>
      <c r="T229" s="22">
        <f>COUNTIF($V$4:V229,V229)</f>
        <v>4</v>
      </c>
      <c r="U229" s="22" t="str">
        <f>IF(T229=1,COUNTIF($T$4:T229,1),"")</f>
        <v/>
      </c>
      <c r="V229" s="23" t="str">
        <f t="shared" si="22"/>
        <v>西区03認定こども園</v>
      </c>
      <c r="W229" s="23" t="str">
        <f t="shared" si="23"/>
        <v>認定こども園西野そらいろ保育園</v>
      </c>
      <c r="X229" s="24">
        <v>225</v>
      </c>
      <c r="Y229" s="23"/>
    </row>
    <row r="230" spans="1:25" outlineLevel="1">
      <c r="A230" s="36">
        <v>700075</v>
      </c>
      <c r="B230" s="20" t="s">
        <v>199</v>
      </c>
      <c r="C230" s="20" t="s">
        <v>531</v>
      </c>
      <c r="D230" s="37" t="s">
        <v>1078</v>
      </c>
      <c r="E230" s="37" t="s">
        <v>224</v>
      </c>
      <c r="F230" s="38" t="s">
        <v>1672</v>
      </c>
      <c r="G230" s="21">
        <v>162</v>
      </c>
      <c r="H230" s="21">
        <v>69</v>
      </c>
      <c r="I230" s="21">
        <v>19</v>
      </c>
      <c r="J230" s="42">
        <v>250</v>
      </c>
      <c r="K230" s="21">
        <v>162</v>
      </c>
      <c r="L230" s="21">
        <v>69</v>
      </c>
      <c r="M230" s="21">
        <v>0</v>
      </c>
      <c r="N230" s="21">
        <v>19</v>
      </c>
      <c r="O230" s="21">
        <v>19</v>
      </c>
      <c r="P230" s="21">
        <v>0</v>
      </c>
      <c r="Q230" s="37"/>
      <c r="R230" s="20">
        <f t="shared" si="20"/>
        <v>250</v>
      </c>
      <c r="S230" s="22">
        <f t="shared" si="21"/>
        <v>700075</v>
      </c>
      <c r="T230" s="22">
        <f>COUNTIF($V$4:V230,V230)</f>
        <v>5</v>
      </c>
      <c r="U230" s="22" t="str">
        <f>IF(T230=1,COUNTIF($T$4:T230,1),"")</f>
        <v/>
      </c>
      <c r="V230" s="23" t="str">
        <f t="shared" si="22"/>
        <v>西区03認定こども園</v>
      </c>
      <c r="W230" s="23" t="str">
        <f t="shared" si="23"/>
        <v>幼保連携型認定こども園西野札幌幼稚園</v>
      </c>
      <c r="X230" s="24">
        <v>226</v>
      </c>
      <c r="Y230" s="23"/>
    </row>
    <row r="231" spans="1:25" ht="11.25" customHeight="1" outlineLevel="1">
      <c r="A231" s="16">
        <v>700087</v>
      </c>
      <c r="B231" s="20" t="s">
        <v>199</v>
      </c>
      <c r="C231" s="20" t="s">
        <v>531</v>
      </c>
      <c r="D231" s="20" t="s">
        <v>1069</v>
      </c>
      <c r="E231" s="20" t="s">
        <v>224</v>
      </c>
      <c r="F231" s="21" t="s">
        <v>1568</v>
      </c>
      <c r="G231" s="21">
        <v>9</v>
      </c>
      <c r="H231" s="21">
        <v>51</v>
      </c>
      <c r="I231" s="21">
        <v>39</v>
      </c>
      <c r="J231" s="42">
        <v>99</v>
      </c>
      <c r="K231" s="21">
        <v>9</v>
      </c>
      <c r="L231" s="21">
        <v>51</v>
      </c>
      <c r="M231" s="21">
        <v>5</v>
      </c>
      <c r="N231" s="21">
        <v>34</v>
      </c>
      <c r="O231" s="21">
        <v>39</v>
      </c>
      <c r="P231" s="21">
        <v>0</v>
      </c>
      <c r="Q231" s="21"/>
      <c r="R231" s="20">
        <f t="shared" si="20"/>
        <v>99</v>
      </c>
      <c r="S231" s="22">
        <f t="shared" si="21"/>
        <v>700087</v>
      </c>
      <c r="T231" s="22">
        <f>COUNTIF($V$4:V231,V231)</f>
        <v>6</v>
      </c>
      <c r="U231" s="22" t="str">
        <f>IF(T231=1,COUNTIF($T$4:T231,1),"")</f>
        <v/>
      </c>
      <c r="V231" s="23" t="str">
        <f t="shared" si="22"/>
        <v>西区03認定こども園</v>
      </c>
      <c r="W231" s="23" t="str">
        <f t="shared" si="23"/>
        <v>認定こども園平和あすみ保育園</v>
      </c>
      <c r="X231" s="24">
        <v>227</v>
      </c>
      <c r="Y231" s="23"/>
    </row>
    <row r="232" spans="1:25" ht="11.25" customHeight="1" outlineLevel="1">
      <c r="A232" s="16">
        <v>700090</v>
      </c>
      <c r="B232" s="20" t="s">
        <v>199</v>
      </c>
      <c r="C232" s="20" t="s">
        <v>531</v>
      </c>
      <c r="D232" s="20" t="s">
        <v>1069</v>
      </c>
      <c r="E232" s="20" t="s">
        <v>224</v>
      </c>
      <c r="F232" s="21" t="s">
        <v>1322</v>
      </c>
      <c r="G232" s="21">
        <v>45</v>
      </c>
      <c r="H232" s="21">
        <v>45</v>
      </c>
      <c r="I232" s="21">
        <v>15</v>
      </c>
      <c r="J232" s="42">
        <v>105</v>
      </c>
      <c r="K232" s="21">
        <v>45</v>
      </c>
      <c r="L232" s="21">
        <v>45</v>
      </c>
      <c r="M232" s="21">
        <v>3</v>
      </c>
      <c r="N232" s="21">
        <v>12</v>
      </c>
      <c r="O232" s="21">
        <v>15</v>
      </c>
      <c r="P232" s="21">
        <v>0</v>
      </c>
      <c r="Q232" s="21"/>
      <c r="R232" s="20">
        <f t="shared" si="20"/>
        <v>105</v>
      </c>
      <c r="S232" s="22">
        <f t="shared" si="21"/>
        <v>700090</v>
      </c>
      <c r="T232" s="22">
        <f>COUNTIF($V$4:V232,V232)</f>
        <v>7</v>
      </c>
      <c r="U232" s="22" t="str">
        <f>IF(T232=1,COUNTIF($T$4:T232,1),"")</f>
        <v/>
      </c>
      <c r="V232" s="23" t="str">
        <f t="shared" si="22"/>
        <v>西区03認定こども園</v>
      </c>
      <c r="W232" s="23" t="str">
        <f t="shared" si="23"/>
        <v>幼保連携型認定こども園幸明幼稚園</v>
      </c>
      <c r="X232" s="24">
        <v>228</v>
      </c>
      <c r="Y232" s="23"/>
    </row>
    <row r="233" spans="1:25" ht="11.25" customHeight="1" outlineLevel="1">
      <c r="A233" s="16">
        <v>700091</v>
      </c>
      <c r="B233" s="20" t="s">
        <v>199</v>
      </c>
      <c r="C233" s="20" t="s">
        <v>531</v>
      </c>
      <c r="D233" s="20" t="s">
        <v>1069</v>
      </c>
      <c r="E233" s="20" t="s">
        <v>224</v>
      </c>
      <c r="F233" s="21" t="s">
        <v>1150</v>
      </c>
      <c r="G233" s="21">
        <v>15</v>
      </c>
      <c r="H233" s="21">
        <v>51</v>
      </c>
      <c r="I233" s="21">
        <v>39</v>
      </c>
      <c r="J233" s="42">
        <v>105</v>
      </c>
      <c r="K233" s="21">
        <v>15</v>
      </c>
      <c r="L233" s="21">
        <v>51</v>
      </c>
      <c r="M233" s="21">
        <v>5</v>
      </c>
      <c r="N233" s="21">
        <v>34</v>
      </c>
      <c r="O233" s="21">
        <v>39</v>
      </c>
      <c r="P233" s="21">
        <v>0</v>
      </c>
      <c r="Q233" s="21"/>
      <c r="R233" s="20">
        <f t="shared" si="20"/>
        <v>105</v>
      </c>
      <c r="S233" s="22">
        <f t="shared" si="21"/>
        <v>700091</v>
      </c>
      <c r="T233" s="22">
        <f>COUNTIF($V$4:V233,V233)</f>
        <v>8</v>
      </c>
      <c r="U233" s="22" t="str">
        <f>IF(T233=1,COUNTIF($T$4:T233,1),"")</f>
        <v/>
      </c>
      <c r="V233" s="23" t="str">
        <f t="shared" si="22"/>
        <v>西区03認定こども園</v>
      </c>
      <c r="W233" s="23" t="str">
        <f t="shared" si="23"/>
        <v>認定こども園西町さつき保育園</v>
      </c>
      <c r="X233" s="24">
        <v>229</v>
      </c>
      <c r="Y233" s="23"/>
    </row>
    <row r="234" spans="1:25" ht="11.25" customHeight="1" outlineLevel="1">
      <c r="A234" s="16">
        <v>700097</v>
      </c>
      <c r="B234" s="20" t="s">
        <v>199</v>
      </c>
      <c r="C234" s="20" t="s">
        <v>531</v>
      </c>
      <c r="D234" s="20" t="s">
        <v>1078</v>
      </c>
      <c r="E234" s="20" t="s">
        <v>224</v>
      </c>
      <c r="F234" s="21" t="s">
        <v>1457</v>
      </c>
      <c r="G234" s="21">
        <v>15</v>
      </c>
      <c r="H234" s="21">
        <v>51</v>
      </c>
      <c r="I234" s="21">
        <v>39</v>
      </c>
      <c r="J234" s="42">
        <v>105</v>
      </c>
      <c r="K234" s="21">
        <v>15</v>
      </c>
      <c r="L234" s="21">
        <v>51</v>
      </c>
      <c r="M234" s="21">
        <v>5</v>
      </c>
      <c r="N234" s="21">
        <v>34</v>
      </c>
      <c r="O234" s="21">
        <v>39</v>
      </c>
      <c r="P234" s="21">
        <v>0</v>
      </c>
      <c r="Q234" s="21"/>
      <c r="R234" s="20">
        <f t="shared" si="20"/>
        <v>105</v>
      </c>
      <c r="S234" s="22">
        <f t="shared" si="21"/>
        <v>700097</v>
      </c>
      <c r="T234" s="22">
        <f>COUNTIF($V$4:V234,V234)</f>
        <v>9</v>
      </c>
      <c r="U234" s="22" t="str">
        <f>IF(T234=1,COUNTIF($T$4:T234,1),"")</f>
        <v/>
      </c>
      <c r="V234" s="23" t="str">
        <f t="shared" si="22"/>
        <v>西区03認定こども園</v>
      </c>
      <c r="W234" s="23" t="str">
        <f t="shared" si="23"/>
        <v>認定こども園にしの</v>
      </c>
      <c r="X234" s="24">
        <v>230</v>
      </c>
      <c r="Y234" s="23"/>
    </row>
    <row r="235" spans="1:25" ht="11.25" customHeight="1" outlineLevel="1">
      <c r="A235" s="16">
        <v>700004</v>
      </c>
      <c r="B235" s="20" t="s">
        <v>199</v>
      </c>
      <c r="C235" s="20" t="s">
        <v>531</v>
      </c>
      <c r="D235" s="20" t="s">
        <v>1067</v>
      </c>
      <c r="E235" s="20" t="s">
        <v>224</v>
      </c>
      <c r="F235" s="21" t="s">
        <v>1458</v>
      </c>
      <c r="G235" s="21">
        <v>15</v>
      </c>
      <c r="H235" s="21">
        <v>51</v>
      </c>
      <c r="I235" s="21">
        <v>39</v>
      </c>
      <c r="J235" s="42">
        <v>105</v>
      </c>
      <c r="K235" s="21">
        <v>15</v>
      </c>
      <c r="L235" s="21">
        <v>51</v>
      </c>
      <c r="M235" s="21">
        <v>9</v>
      </c>
      <c r="N235" s="21">
        <v>30</v>
      </c>
      <c r="O235" s="21">
        <v>39</v>
      </c>
      <c r="P235" s="21">
        <v>0</v>
      </c>
      <c r="Q235" s="21"/>
      <c r="R235" s="20">
        <f t="shared" si="20"/>
        <v>105</v>
      </c>
      <c r="S235" s="22">
        <f t="shared" si="21"/>
        <v>700004</v>
      </c>
      <c r="T235" s="22">
        <f>COUNTIF($V$4:V235,V235)</f>
        <v>10</v>
      </c>
      <c r="U235" s="22" t="str">
        <f>IF(T235=1,COUNTIF($T$4:T235,1),"")</f>
        <v/>
      </c>
      <c r="V235" s="23" t="str">
        <f t="shared" si="22"/>
        <v>西区03認定こども園</v>
      </c>
      <c r="W235" s="23" t="str">
        <f t="shared" si="23"/>
        <v>琴似あやめ保育園</v>
      </c>
      <c r="X235" s="24">
        <v>231</v>
      </c>
      <c r="Y235" s="23"/>
    </row>
    <row r="236" spans="1:25" ht="11.25" customHeight="1" outlineLevel="1">
      <c r="A236" s="16">
        <v>700005</v>
      </c>
      <c r="B236" s="20" t="s">
        <v>199</v>
      </c>
      <c r="C236" s="20" t="s">
        <v>531</v>
      </c>
      <c r="D236" s="20" t="s">
        <v>1284</v>
      </c>
      <c r="E236" s="20" t="s">
        <v>224</v>
      </c>
      <c r="F236" s="21" t="s">
        <v>1673</v>
      </c>
      <c r="G236" s="21">
        <v>13</v>
      </c>
      <c r="H236" s="21">
        <v>75</v>
      </c>
      <c r="I236" s="21">
        <v>55</v>
      </c>
      <c r="J236" s="42">
        <v>143</v>
      </c>
      <c r="K236" s="21">
        <v>13</v>
      </c>
      <c r="L236" s="21">
        <v>75</v>
      </c>
      <c r="M236" s="21">
        <v>12</v>
      </c>
      <c r="N236" s="21">
        <v>43</v>
      </c>
      <c r="O236" s="21">
        <v>55</v>
      </c>
      <c r="P236" s="21">
        <v>0</v>
      </c>
      <c r="Q236" s="21"/>
      <c r="R236" s="20">
        <f t="shared" si="20"/>
        <v>143</v>
      </c>
      <c r="S236" s="22">
        <f t="shared" si="21"/>
        <v>700005</v>
      </c>
      <c r="T236" s="22">
        <f>COUNTIF($V$4:V236,V236)</f>
        <v>11</v>
      </c>
      <c r="U236" s="22" t="str">
        <f>IF(T236=1,COUNTIF($T$4:T236,1),"")</f>
        <v/>
      </c>
      <c r="V236" s="23" t="str">
        <f t="shared" si="22"/>
        <v>西区03認定こども園</v>
      </c>
      <c r="W236" s="23" t="str">
        <f t="shared" si="23"/>
        <v>発寒ひかり保育園</v>
      </c>
      <c r="X236" s="24">
        <v>232</v>
      </c>
      <c r="Y236" s="23"/>
    </row>
    <row r="237" spans="1:25" ht="11.25" customHeight="1" outlineLevel="1">
      <c r="A237" s="16">
        <v>700008</v>
      </c>
      <c r="B237" s="20" t="s">
        <v>199</v>
      </c>
      <c r="C237" s="20" t="s">
        <v>531</v>
      </c>
      <c r="D237" s="20" t="s">
        <v>1067</v>
      </c>
      <c r="E237" s="20" t="s">
        <v>224</v>
      </c>
      <c r="F237" s="21" t="s">
        <v>1324</v>
      </c>
      <c r="G237" s="21">
        <v>15</v>
      </c>
      <c r="H237" s="21">
        <v>62</v>
      </c>
      <c r="I237" s="21">
        <v>58</v>
      </c>
      <c r="J237" s="42">
        <v>135</v>
      </c>
      <c r="K237" s="21">
        <v>15</v>
      </c>
      <c r="L237" s="21">
        <v>62</v>
      </c>
      <c r="M237" s="21">
        <v>19</v>
      </c>
      <c r="N237" s="21">
        <v>39</v>
      </c>
      <c r="O237" s="21">
        <v>58</v>
      </c>
      <c r="P237" s="21">
        <v>0</v>
      </c>
      <c r="Q237" s="21"/>
      <c r="R237" s="20">
        <f t="shared" si="20"/>
        <v>135</v>
      </c>
      <c r="S237" s="22">
        <f t="shared" si="21"/>
        <v>700008</v>
      </c>
      <c r="T237" s="22">
        <f>COUNTIF($V$4:V237,V237)</f>
        <v>12</v>
      </c>
      <c r="U237" s="22" t="str">
        <f>IF(T237=1,COUNTIF($T$4:T237,1),"")</f>
        <v/>
      </c>
      <c r="V237" s="23" t="str">
        <f t="shared" si="22"/>
        <v>西区03認定こども園</v>
      </c>
      <c r="W237" s="23" t="str">
        <f t="shared" si="23"/>
        <v>八軒太陽の子保育園</v>
      </c>
      <c r="X237" s="24">
        <v>233</v>
      </c>
      <c r="Y237" s="23"/>
    </row>
    <row r="238" spans="1:25" ht="11.25" customHeight="1" outlineLevel="1">
      <c r="A238" s="16">
        <v>700009</v>
      </c>
      <c r="B238" s="20" t="s">
        <v>199</v>
      </c>
      <c r="C238" s="20" t="s">
        <v>531</v>
      </c>
      <c r="D238" s="20" t="s">
        <v>1067</v>
      </c>
      <c r="E238" s="20" t="s">
        <v>224</v>
      </c>
      <c r="F238" s="21" t="s">
        <v>1459</v>
      </c>
      <c r="G238" s="21">
        <v>15</v>
      </c>
      <c r="H238" s="21">
        <v>90</v>
      </c>
      <c r="I238" s="21">
        <v>70</v>
      </c>
      <c r="J238" s="42">
        <v>175</v>
      </c>
      <c r="K238" s="21">
        <v>15</v>
      </c>
      <c r="L238" s="21">
        <v>75</v>
      </c>
      <c r="M238" s="21">
        <v>15</v>
      </c>
      <c r="N238" s="21">
        <v>50</v>
      </c>
      <c r="O238" s="21">
        <v>65</v>
      </c>
      <c r="P238" s="21">
        <v>0</v>
      </c>
      <c r="Q238" s="21"/>
      <c r="R238" s="20">
        <f t="shared" si="20"/>
        <v>155</v>
      </c>
      <c r="S238" s="22">
        <f t="shared" si="21"/>
        <v>700009</v>
      </c>
      <c r="T238" s="22">
        <f>COUNTIF($V$4:V238,V238)</f>
        <v>13</v>
      </c>
      <c r="U238" s="22" t="str">
        <f>IF(T238=1,COUNTIF($T$4:T238,1),"")</f>
        <v/>
      </c>
      <c r="V238" s="23" t="str">
        <f t="shared" si="22"/>
        <v>西区03認定こども園</v>
      </c>
      <c r="W238" s="23" t="str">
        <f t="shared" si="23"/>
        <v>手稲東保育園</v>
      </c>
      <c r="X238" s="24">
        <v>234</v>
      </c>
      <c r="Y238" s="23"/>
    </row>
    <row r="239" spans="1:25" ht="11.25" customHeight="1" outlineLevel="1">
      <c r="A239" s="16">
        <v>700010</v>
      </c>
      <c r="B239" s="20" t="s">
        <v>199</v>
      </c>
      <c r="C239" s="20" t="s">
        <v>531</v>
      </c>
      <c r="D239" s="20" t="s">
        <v>1067</v>
      </c>
      <c r="E239" s="20" t="s">
        <v>224</v>
      </c>
      <c r="F239" s="21" t="s">
        <v>1460</v>
      </c>
      <c r="G239" s="21">
        <v>15</v>
      </c>
      <c r="H239" s="21">
        <v>48</v>
      </c>
      <c r="I239" s="21">
        <v>42</v>
      </c>
      <c r="J239" s="42">
        <v>105</v>
      </c>
      <c r="K239" s="21">
        <v>15</v>
      </c>
      <c r="L239" s="21">
        <v>48</v>
      </c>
      <c r="M239" s="21">
        <v>12</v>
      </c>
      <c r="N239" s="21">
        <v>30</v>
      </c>
      <c r="O239" s="21">
        <v>42</v>
      </c>
      <c r="P239" s="21">
        <v>0</v>
      </c>
      <c r="Q239" s="21"/>
      <c r="R239" s="20">
        <f t="shared" si="20"/>
        <v>105</v>
      </c>
      <c r="S239" s="22">
        <f t="shared" si="21"/>
        <v>700010</v>
      </c>
      <c r="T239" s="22">
        <f>COUNTIF($V$4:V239,V239)</f>
        <v>14</v>
      </c>
      <c r="U239" s="22" t="str">
        <f>IF(T239=1,COUNTIF($T$4:T239,1),"")</f>
        <v/>
      </c>
      <c r="V239" s="23" t="str">
        <f t="shared" si="22"/>
        <v>西区03認定こども園</v>
      </c>
      <c r="W239" s="23" t="str">
        <f t="shared" si="23"/>
        <v>発寒保育園</v>
      </c>
      <c r="X239" s="24">
        <v>235</v>
      </c>
      <c r="Y239" s="23"/>
    </row>
    <row r="240" spans="1:25" ht="11.25" customHeight="1" outlineLevel="1">
      <c r="A240" s="16">
        <v>700011</v>
      </c>
      <c r="B240" s="20" t="s">
        <v>199</v>
      </c>
      <c r="C240" s="20" t="s">
        <v>531</v>
      </c>
      <c r="D240" s="20" t="s">
        <v>1067</v>
      </c>
      <c r="E240" s="20" t="s">
        <v>224</v>
      </c>
      <c r="F240" s="21" t="s">
        <v>1147</v>
      </c>
      <c r="G240" s="21">
        <v>10</v>
      </c>
      <c r="H240" s="21">
        <v>90</v>
      </c>
      <c r="I240" s="21">
        <v>60</v>
      </c>
      <c r="J240" s="42">
        <v>160</v>
      </c>
      <c r="K240" s="21">
        <v>10</v>
      </c>
      <c r="L240" s="21">
        <v>78</v>
      </c>
      <c r="M240" s="21">
        <v>12</v>
      </c>
      <c r="N240" s="21">
        <v>50</v>
      </c>
      <c r="O240" s="21">
        <v>62</v>
      </c>
      <c r="P240" s="21">
        <v>0</v>
      </c>
      <c r="Q240" s="21"/>
      <c r="R240" s="20">
        <f t="shared" si="20"/>
        <v>150</v>
      </c>
      <c r="S240" s="22">
        <f t="shared" si="21"/>
        <v>700011</v>
      </c>
      <c r="T240" s="22">
        <f>COUNTIF($V$4:V240,V240)</f>
        <v>15</v>
      </c>
      <c r="U240" s="22" t="str">
        <f>IF(T240=1,COUNTIF($T$4:T240,1),"")</f>
        <v/>
      </c>
      <c r="V240" s="23" t="str">
        <f t="shared" si="22"/>
        <v>西区03認定こども園</v>
      </c>
      <c r="W240" s="23" t="str">
        <f t="shared" si="23"/>
        <v>認定こども園西野保育園</v>
      </c>
      <c r="X240" s="24">
        <v>236</v>
      </c>
      <c r="Y240" s="23"/>
    </row>
    <row r="241" spans="1:25" ht="11.25" customHeight="1" outlineLevel="1">
      <c r="A241" s="16">
        <v>700012</v>
      </c>
      <c r="B241" s="20" t="s">
        <v>199</v>
      </c>
      <c r="C241" s="20" t="s">
        <v>531</v>
      </c>
      <c r="D241" s="20" t="s">
        <v>1067</v>
      </c>
      <c r="E241" s="20" t="s">
        <v>224</v>
      </c>
      <c r="F241" s="21" t="s">
        <v>1461</v>
      </c>
      <c r="G241" s="21">
        <v>5</v>
      </c>
      <c r="H241" s="21">
        <v>45</v>
      </c>
      <c r="I241" s="21">
        <v>35</v>
      </c>
      <c r="J241" s="42">
        <v>85</v>
      </c>
      <c r="K241" s="21">
        <v>5</v>
      </c>
      <c r="L241" s="21">
        <v>45</v>
      </c>
      <c r="M241" s="21">
        <v>8</v>
      </c>
      <c r="N241" s="21">
        <v>27</v>
      </c>
      <c r="O241" s="1358">
        <v>15</v>
      </c>
      <c r="P241" s="21">
        <v>20</v>
      </c>
      <c r="Q241" s="21"/>
      <c r="R241" s="20">
        <f t="shared" si="20"/>
        <v>65</v>
      </c>
      <c r="S241" s="22">
        <f t="shared" si="21"/>
        <v>700012</v>
      </c>
      <c r="T241" s="22">
        <f>COUNTIF($V$4:V241,V241)</f>
        <v>16</v>
      </c>
      <c r="U241" s="22" t="str">
        <f>IF(T241=1,COUNTIF($T$4:T241,1),"")</f>
        <v/>
      </c>
      <c r="V241" s="23" t="str">
        <f t="shared" si="22"/>
        <v>西区03認定こども園</v>
      </c>
      <c r="W241" s="23" t="str">
        <f t="shared" si="23"/>
        <v>二十四軒保育園</v>
      </c>
      <c r="X241" s="24">
        <v>237</v>
      </c>
      <c r="Y241" s="23"/>
    </row>
    <row r="242" spans="1:25" ht="11.25" customHeight="1" outlineLevel="1">
      <c r="A242" s="16">
        <v>700013</v>
      </c>
      <c r="B242" s="20" t="s">
        <v>199</v>
      </c>
      <c r="C242" s="20" t="s">
        <v>531</v>
      </c>
      <c r="D242" s="20" t="s">
        <v>1284</v>
      </c>
      <c r="E242" s="20" t="s">
        <v>224</v>
      </c>
      <c r="F242" s="21" t="s">
        <v>1674</v>
      </c>
      <c r="G242" s="21">
        <v>12</v>
      </c>
      <c r="H242" s="21">
        <v>66</v>
      </c>
      <c r="I242" s="21">
        <v>54</v>
      </c>
      <c r="J242" s="42">
        <v>132</v>
      </c>
      <c r="K242" s="21">
        <v>12</v>
      </c>
      <c r="L242" s="21">
        <v>66</v>
      </c>
      <c r="M242" s="21">
        <v>12</v>
      </c>
      <c r="N242" s="21">
        <v>42</v>
      </c>
      <c r="O242" s="21">
        <v>54</v>
      </c>
      <c r="P242" s="21">
        <v>0</v>
      </c>
      <c r="Q242" s="21"/>
      <c r="R242" s="20">
        <f t="shared" si="20"/>
        <v>132</v>
      </c>
      <c r="S242" s="22">
        <f t="shared" si="21"/>
        <v>700013</v>
      </c>
      <c r="T242" s="22">
        <f>COUNTIF($V$4:V242,V242)</f>
        <v>17</v>
      </c>
      <c r="U242" s="22" t="str">
        <f>IF(T242=1,COUNTIF($T$4:T242,1),"")</f>
        <v/>
      </c>
      <c r="V242" s="23" t="str">
        <f t="shared" si="22"/>
        <v>西区03認定こども園</v>
      </c>
      <c r="W242" s="23" t="str">
        <f t="shared" si="23"/>
        <v>認定こども園西野中央保育園</v>
      </c>
      <c r="X242" s="24"/>
      <c r="Y242" s="23"/>
    </row>
    <row r="243" spans="1:25" ht="11.25" customHeight="1" outlineLevel="1">
      <c r="A243" s="16">
        <v>700016</v>
      </c>
      <c r="B243" s="20" t="s">
        <v>199</v>
      </c>
      <c r="C243" s="20" t="s">
        <v>531</v>
      </c>
      <c r="D243" s="20" t="s">
        <v>1067</v>
      </c>
      <c r="E243" s="20" t="s">
        <v>224</v>
      </c>
      <c r="F243" s="21" t="s">
        <v>1325</v>
      </c>
      <c r="G243" s="21">
        <v>15</v>
      </c>
      <c r="H243" s="21">
        <v>53</v>
      </c>
      <c r="I243" s="21">
        <v>37</v>
      </c>
      <c r="J243" s="42">
        <v>105</v>
      </c>
      <c r="K243" s="21">
        <v>15</v>
      </c>
      <c r="L243" s="21">
        <v>53</v>
      </c>
      <c r="M243" s="21">
        <v>10</v>
      </c>
      <c r="N243" s="21">
        <v>27</v>
      </c>
      <c r="O243" s="21">
        <v>37</v>
      </c>
      <c r="P243" s="21">
        <v>0</v>
      </c>
      <c r="Q243" s="21"/>
      <c r="R243" s="20">
        <f t="shared" si="20"/>
        <v>105</v>
      </c>
      <c r="S243" s="22">
        <f t="shared" si="21"/>
        <v>700016</v>
      </c>
      <c r="T243" s="22">
        <f>COUNTIF($V$4:V243,V243)</f>
        <v>18</v>
      </c>
      <c r="U243" s="22" t="str">
        <f>IF(T243=1,COUNTIF($T$4:T243,1),"")</f>
        <v/>
      </c>
      <c r="V243" s="23" t="str">
        <f t="shared" si="22"/>
        <v>西区03認定こども園</v>
      </c>
      <c r="W243" s="23" t="str">
        <f t="shared" si="23"/>
        <v>西野あおい保育園</v>
      </c>
      <c r="X243" s="24"/>
      <c r="Y243" s="23"/>
    </row>
    <row r="244" spans="1:25" ht="11.25" customHeight="1" outlineLevel="1">
      <c r="A244" s="16">
        <v>700019</v>
      </c>
      <c r="B244" s="20" t="s">
        <v>199</v>
      </c>
      <c r="C244" s="20" t="s">
        <v>531</v>
      </c>
      <c r="D244" s="20" t="s">
        <v>1067</v>
      </c>
      <c r="E244" s="20" t="s">
        <v>224</v>
      </c>
      <c r="F244" s="21" t="s">
        <v>1462</v>
      </c>
      <c r="G244" s="21">
        <v>10</v>
      </c>
      <c r="H244" s="21">
        <v>60</v>
      </c>
      <c r="I244" s="21">
        <v>30</v>
      </c>
      <c r="J244" s="42">
        <v>100</v>
      </c>
      <c r="K244" s="21">
        <v>10</v>
      </c>
      <c r="L244" s="21">
        <v>60</v>
      </c>
      <c r="M244" s="21">
        <v>5</v>
      </c>
      <c r="N244" s="21">
        <v>25</v>
      </c>
      <c r="O244" s="21">
        <v>30</v>
      </c>
      <c r="P244" s="21">
        <v>0</v>
      </c>
      <c r="Q244" s="21"/>
      <c r="R244" s="20">
        <f t="shared" si="20"/>
        <v>100</v>
      </c>
      <c r="S244" s="22">
        <f t="shared" si="21"/>
        <v>700019</v>
      </c>
      <c r="T244" s="22">
        <f>COUNTIF($V$4:V244,V244)</f>
        <v>19</v>
      </c>
      <c r="U244" s="22" t="str">
        <f>IF(T244=1,COUNTIF($T$4:T244,1),"")</f>
        <v/>
      </c>
      <c r="V244" s="23" t="str">
        <f t="shared" si="22"/>
        <v>西区03認定こども園</v>
      </c>
      <c r="W244" s="23" t="str">
        <f t="shared" si="23"/>
        <v>宮の沢桃の花こども園</v>
      </c>
      <c r="X244" s="24"/>
      <c r="Y244" s="23"/>
    </row>
    <row r="245" spans="1:25" ht="11.25" customHeight="1" outlineLevel="1">
      <c r="A245" s="16">
        <v>700020</v>
      </c>
      <c r="B245" s="20" t="s">
        <v>199</v>
      </c>
      <c r="C245" s="20" t="s">
        <v>531</v>
      </c>
      <c r="D245" s="20" t="s">
        <v>1067</v>
      </c>
      <c r="E245" s="20" t="s">
        <v>224</v>
      </c>
      <c r="F245" s="21" t="s">
        <v>1326</v>
      </c>
      <c r="G245" s="21">
        <v>10</v>
      </c>
      <c r="H245" s="21">
        <v>72</v>
      </c>
      <c r="I245" s="21">
        <v>48</v>
      </c>
      <c r="J245" s="42">
        <v>130</v>
      </c>
      <c r="K245" s="21">
        <v>10</v>
      </c>
      <c r="L245" s="21">
        <v>72</v>
      </c>
      <c r="M245" s="21">
        <v>12</v>
      </c>
      <c r="N245" s="21">
        <v>36</v>
      </c>
      <c r="O245" s="21">
        <v>48</v>
      </c>
      <c r="P245" s="21">
        <v>0</v>
      </c>
      <c r="Q245" s="21"/>
      <c r="R245" s="20">
        <f t="shared" si="20"/>
        <v>130</v>
      </c>
      <c r="S245" s="22">
        <f t="shared" si="21"/>
        <v>700020</v>
      </c>
      <c r="T245" s="22">
        <f>COUNTIF($V$4:V245,V245)</f>
        <v>20</v>
      </c>
      <c r="U245" s="22" t="str">
        <f>IF(T245=1,COUNTIF($T$4:T245,1),"")</f>
        <v/>
      </c>
      <c r="V245" s="23" t="str">
        <f t="shared" si="22"/>
        <v>西区03認定こども園</v>
      </c>
      <c r="W245" s="23" t="str">
        <f t="shared" si="23"/>
        <v>認定こども園発寒わんぱく保育園</v>
      </c>
      <c r="X245" s="24"/>
      <c r="Y245" s="23"/>
    </row>
    <row r="246" spans="1:25" ht="11.25" customHeight="1" outlineLevel="1">
      <c r="A246" s="16">
        <v>700024</v>
      </c>
      <c r="B246" s="20" t="s">
        <v>199</v>
      </c>
      <c r="C246" s="20" t="s">
        <v>531</v>
      </c>
      <c r="D246" s="20" t="s">
        <v>1067</v>
      </c>
      <c r="E246" s="20" t="s">
        <v>224</v>
      </c>
      <c r="F246" s="21" t="s">
        <v>1463</v>
      </c>
      <c r="G246" s="21">
        <v>15</v>
      </c>
      <c r="H246" s="21">
        <v>54</v>
      </c>
      <c r="I246" s="21">
        <v>36</v>
      </c>
      <c r="J246" s="42">
        <v>105</v>
      </c>
      <c r="K246" s="21">
        <v>15</v>
      </c>
      <c r="L246" s="21">
        <v>54</v>
      </c>
      <c r="M246" s="21">
        <v>6</v>
      </c>
      <c r="N246" s="21">
        <v>30</v>
      </c>
      <c r="O246" s="21">
        <v>36</v>
      </c>
      <c r="P246" s="21">
        <v>0</v>
      </c>
      <c r="Q246" s="21"/>
      <c r="R246" s="20">
        <f t="shared" si="20"/>
        <v>105</v>
      </c>
      <c r="S246" s="22">
        <f t="shared" si="21"/>
        <v>700024</v>
      </c>
      <c r="T246" s="22">
        <f>COUNTIF($V$4:V246,V246)</f>
        <v>21</v>
      </c>
      <c r="U246" s="22" t="str">
        <f>IF(T246=1,COUNTIF($T$4:T246,1),"")</f>
        <v/>
      </c>
      <c r="V246" s="23" t="str">
        <f t="shared" si="22"/>
        <v>西区03認定こども園</v>
      </c>
      <c r="W246" s="23" t="str">
        <f t="shared" si="23"/>
        <v>たかさごスクール宮の沢</v>
      </c>
      <c r="X246" s="24"/>
      <c r="Y246" s="23"/>
    </row>
    <row r="247" spans="1:25" ht="11.25" customHeight="1" outlineLevel="1">
      <c r="A247" s="16">
        <v>700025</v>
      </c>
      <c r="B247" s="20" t="s">
        <v>199</v>
      </c>
      <c r="C247" s="20" t="s">
        <v>531</v>
      </c>
      <c r="D247" s="20" t="s">
        <v>1067</v>
      </c>
      <c r="E247" s="20" t="s">
        <v>224</v>
      </c>
      <c r="F247" s="21" t="s">
        <v>225</v>
      </c>
      <c r="G247" s="21">
        <v>15</v>
      </c>
      <c r="H247" s="21">
        <v>59</v>
      </c>
      <c r="I247" s="21">
        <v>51</v>
      </c>
      <c r="J247" s="42">
        <v>125</v>
      </c>
      <c r="K247" s="21">
        <v>15</v>
      </c>
      <c r="L247" s="21">
        <v>54</v>
      </c>
      <c r="M247" s="21">
        <v>3</v>
      </c>
      <c r="N247" s="21">
        <v>23</v>
      </c>
      <c r="O247" s="21">
        <v>26</v>
      </c>
      <c r="P247" s="21">
        <v>0</v>
      </c>
      <c r="Q247" s="21"/>
      <c r="R247" s="20">
        <f t="shared" si="20"/>
        <v>95</v>
      </c>
      <c r="S247" s="22">
        <f t="shared" si="21"/>
        <v>700025</v>
      </c>
      <c r="T247" s="22">
        <f>COUNTIF($V$4:V247,V247)</f>
        <v>22</v>
      </c>
      <c r="U247" s="22" t="str">
        <f>IF(T247=1,COUNTIF($T$4:T247,1),"")</f>
        <v/>
      </c>
      <c r="V247" s="23" t="str">
        <f t="shared" si="22"/>
        <v>西区03認定こども園</v>
      </c>
      <c r="W247" s="23" t="str">
        <f t="shared" si="23"/>
        <v>認定こども園かがやき</v>
      </c>
      <c r="X247" s="24"/>
      <c r="Y247" s="23"/>
    </row>
    <row r="248" spans="1:25" ht="11.25" customHeight="1" outlineLevel="1">
      <c r="A248" s="16">
        <v>700045</v>
      </c>
      <c r="B248" s="20" t="s">
        <v>199</v>
      </c>
      <c r="C248" s="20" t="s">
        <v>531</v>
      </c>
      <c r="D248" s="20" t="s">
        <v>1284</v>
      </c>
      <c r="E248" s="20" t="s">
        <v>224</v>
      </c>
      <c r="F248" s="21" t="s">
        <v>1675</v>
      </c>
      <c r="G248" s="21">
        <v>9</v>
      </c>
      <c r="H248" s="21">
        <v>50</v>
      </c>
      <c r="I248" s="21">
        <v>40</v>
      </c>
      <c r="J248" s="42">
        <v>99</v>
      </c>
      <c r="K248" s="21">
        <v>9</v>
      </c>
      <c r="L248" s="21">
        <v>50</v>
      </c>
      <c r="M248" s="21">
        <v>9</v>
      </c>
      <c r="N248" s="21">
        <v>31</v>
      </c>
      <c r="O248" s="21">
        <v>40</v>
      </c>
      <c r="P248" s="21">
        <v>0</v>
      </c>
      <c r="Q248" s="21"/>
      <c r="R248" s="20">
        <f t="shared" si="20"/>
        <v>99</v>
      </c>
      <c r="S248" s="22">
        <f t="shared" si="21"/>
        <v>700045</v>
      </c>
      <c r="T248" s="22">
        <f>COUNTIF($V$4:V248,V248)</f>
        <v>23</v>
      </c>
      <c r="U248" s="22" t="str">
        <f>IF(T248=1,COUNTIF($T$4:T248,1),"")</f>
        <v/>
      </c>
      <c r="V248" s="23" t="str">
        <f t="shared" si="22"/>
        <v>西区03認定こども園</v>
      </c>
      <c r="W248" s="23" t="str">
        <f t="shared" si="23"/>
        <v>認定こども園ことに保育園</v>
      </c>
      <c r="X248" s="24"/>
      <c r="Y248" s="23"/>
    </row>
    <row r="249" spans="1:25" outlineLevel="1">
      <c r="A249" s="16">
        <v>700046</v>
      </c>
      <c r="B249" s="20" t="s">
        <v>199</v>
      </c>
      <c r="C249" s="20" t="s">
        <v>531</v>
      </c>
      <c r="D249" s="20" t="s">
        <v>1067</v>
      </c>
      <c r="E249" s="20" t="s">
        <v>224</v>
      </c>
      <c r="F249" s="21" t="s">
        <v>227</v>
      </c>
      <c r="G249" s="21">
        <v>15</v>
      </c>
      <c r="H249" s="21">
        <v>38</v>
      </c>
      <c r="I249" s="21">
        <v>32</v>
      </c>
      <c r="J249" s="42">
        <v>85</v>
      </c>
      <c r="K249" s="21">
        <v>15</v>
      </c>
      <c r="L249" s="21">
        <v>38</v>
      </c>
      <c r="M249" s="21">
        <v>10</v>
      </c>
      <c r="N249" s="21">
        <v>22</v>
      </c>
      <c r="O249" s="21">
        <v>32</v>
      </c>
      <c r="P249" s="21">
        <v>0</v>
      </c>
      <c r="Q249" s="21"/>
      <c r="R249" s="20">
        <f t="shared" si="20"/>
        <v>85</v>
      </c>
      <c r="S249" s="22">
        <f t="shared" si="21"/>
        <v>700046</v>
      </c>
      <c r="T249" s="22">
        <f>COUNTIF($V$4:V249,V249)</f>
        <v>24</v>
      </c>
      <c r="U249" s="22" t="str">
        <f>IF(T249=1,COUNTIF($T$4:T249,1),"")</f>
        <v/>
      </c>
      <c r="V249" s="23" t="str">
        <f t="shared" si="22"/>
        <v>西区03認定こども園</v>
      </c>
      <c r="W249" s="23" t="str">
        <f t="shared" si="23"/>
        <v>認定こども園森のタータン保育園宮の沢</v>
      </c>
      <c r="X249" s="24"/>
      <c r="Y249" s="23"/>
    </row>
    <row r="250" spans="1:25" outlineLevel="1">
      <c r="A250" s="16">
        <v>700059</v>
      </c>
      <c r="B250" s="20" t="s">
        <v>199</v>
      </c>
      <c r="C250" s="20" t="s">
        <v>531</v>
      </c>
      <c r="D250" s="20" t="s">
        <v>1067</v>
      </c>
      <c r="E250" s="20" t="s">
        <v>224</v>
      </c>
      <c r="F250" s="21" t="s">
        <v>1148</v>
      </c>
      <c r="G250" s="21">
        <v>10</v>
      </c>
      <c r="H250" s="21">
        <v>32</v>
      </c>
      <c r="I250" s="21">
        <v>28</v>
      </c>
      <c r="J250" s="42">
        <v>70</v>
      </c>
      <c r="K250" s="21">
        <v>10</v>
      </c>
      <c r="L250" s="21">
        <v>32</v>
      </c>
      <c r="M250" s="21">
        <v>8</v>
      </c>
      <c r="N250" s="21">
        <v>20</v>
      </c>
      <c r="O250" s="21">
        <v>28</v>
      </c>
      <c r="P250" s="21">
        <v>0</v>
      </c>
      <c r="Q250" s="21"/>
      <c r="R250" s="20">
        <f t="shared" si="20"/>
        <v>70</v>
      </c>
      <c r="S250" s="22">
        <f t="shared" si="21"/>
        <v>700059</v>
      </c>
      <c r="T250" s="22">
        <f>COUNTIF($V$4:V250,V250)</f>
        <v>25</v>
      </c>
      <c r="U250" s="22" t="str">
        <f>IF(T250=1,COUNTIF($T$4:T250,1),"")</f>
        <v/>
      </c>
      <c r="V250" s="23" t="str">
        <f t="shared" si="22"/>
        <v>西区03認定こども園</v>
      </c>
      <c r="W250" s="23" t="str">
        <f t="shared" si="23"/>
        <v>札幌西友愛認定こども園</v>
      </c>
      <c r="X250" s="24"/>
      <c r="Y250" s="23"/>
    </row>
    <row r="251" spans="1:25" ht="11.25" customHeight="1" outlineLevel="1">
      <c r="A251" s="16">
        <v>700077</v>
      </c>
      <c r="B251" s="20" t="s">
        <v>199</v>
      </c>
      <c r="C251" s="20" t="s">
        <v>531</v>
      </c>
      <c r="D251" s="20" t="s">
        <v>1067</v>
      </c>
      <c r="E251" s="20" t="s">
        <v>224</v>
      </c>
      <c r="F251" s="21" t="s">
        <v>1569</v>
      </c>
      <c r="G251" s="21">
        <v>9</v>
      </c>
      <c r="H251" s="21">
        <v>51</v>
      </c>
      <c r="I251" s="21">
        <v>39</v>
      </c>
      <c r="J251" s="42">
        <v>99</v>
      </c>
      <c r="K251" s="21">
        <v>9</v>
      </c>
      <c r="L251" s="21">
        <v>51</v>
      </c>
      <c r="M251" s="21">
        <v>5</v>
      </c>
      <c r="N251" s="21">
        <v>34</v>
      </c>
      <c r="O251" s="21">
        <v>39</v>
      </c>
      <c r="P251" s="21">
        <v>0</v>
      </c>
      <c r="Q251" s="21"/>
      <c r="R251" s="20">
        <f t="shared" si="20"/>
        <v>99</v>
      </c>
      <c r="S251" s="22">
        <f t="shared" si="21"/>
        <v>700077</v>
      </c>
      <c r="T251" s="22">
        <f>COUNTIF($V$4:V251,V251)</f>
        <v>26</v>
      </c>
      <c r="U251" s="22" t="str">
        <f>IF(T251=1,COUNTIF($T$4:T251,1),"")</f>
        <v/>
      </c>
      <c r="V251" s="23" t="str">
        <f t="shared" si="22"/>
        <v>西区03認定こども園</v>
      </c>
      <c r="W251" s="23" t="str">
        <f t="shared" si="23"/>
        <v>認定こども園山の手あすみ保育園</v>
      </c>
      <c r="X251" s="24"/>
      <c r="Y251" s="23"/>
    </row>
    <row r="252" spans="1:25" ht="11.25" customHeight="1" outlineLevel="1">
      <c r="A252" s="16">
        <v>700093</v>
      </c>
      <c r="B252" s="20" t="s">
        <v>199</v>
      </c>
      <c r="C252" s="20" t="s">
        <v>531</v>
      </c>
      <c r="D252" s="20" t="s">
        <v>1284</v>
      </c>
      <c r="E252" s="20" t="s">
        <v>224</v>
      </c>
      <c r="F252" s="21" t="s">
        <v>1676</v>
      </c>
      <c r="G252" s="21">
        <v>9</v>
      </c>
      <c r="H252" s="21">
        <v>51</v>
      </c>
      <c r="I252" s="21">
        <v>39</v>
      </c>
      <c r="J252" s="42">
        <v>99</v>
      </c>
      <c r="K252" s="21">
        <v>9</v>
      </c>
      <c r="L252" s="21">
        <v>51</v>
      </c>
      <c r="M252" s="21">
        <v>5</v>
      </c>
      <c r="N252" s="21">
        <v>34</v>
      </c>
      <c r="O252" s="21">
        <v>39</v>
      </c>
      <c r="P252" s="21">
        <v>0</v>
      </c>
      <c r="Q252" s="21"/>
      <c r="R252" s="20">
        <f t="shared" si="20"/>
        <v>99</v>
      </c>
      <c r="S252" s="22">
        <f t="shared" si="21"/>
        <v>700093</v>
      </c>
      <c r="T252" s="22">
        <f>COUNTIF($V$4:V252,V252)</f>
        <v>27</v>
      </c>
      <c r="U252" s="22" t="str">
        <f>IF(T252=1,COUNTIF($T$4:T252,1),"")</f>
        <v/>
      </c>
      <c r="V252" s="23" t="str">
        <f t="shared" si="22"/>
        <v>西区03認定こども園</v>
      </c>
      <c r="W252" s="23" t="str">
        <f t="shared" si="23"/>
        <v>認定こども園ピッコロ子ども倶楽部福井保育園</v>
      </c>
      <c r="X252" s="24"/>
      <c r="Y252" s="23"/>
    </row>
    <row r="253" spans="1:25" ht="11.25" customHeight="1" outlineLevel="1">
      <c r="A253" s="16">
        <v>750006</v>
      </c>
      <c r="B253" s="20" t="s">
        <v>199</v>
      </c>
      <c r="C253" s="20" t="s">
        <v>531</v>
      </c>
      <c r="D253" s="20" t="s">
        <v>1069</v>
      </c>
      <c r="E253" s="20" t="s">
        <v>228</v>
      </c>
      <c r="F253" s="21" t="s">
        <v>1151</v>
      </c>
      <c r="G253" s="21">
        <v>15</v>
      </c>
      <c r="H253" s="21">
        <v>48</v>
      </c>
      <c r="I253" s="21">
        <v>42</v>
      </c>
      <c r="J253" s="42">
        <v>105</v>
      </c>
      <c r="K253" s="21">
        <v>15</v>
      </c>
      <c r="L253" s="21">
        <v>48</v>
      </c>
      <c r="M253" s="21">
        <v>10</v>
      </c>
      <c r="N253" s="21">
        <v>32</v>
      </c>
      <c r="O253" s="21">
        <v>42</v>
      </c>
      <c r="P253" s="21">
        <v>0</v>
      </c>
      <c r="Q253" s="21"/>
      <c r="R253" s="20">
        <f t="shared" si="20"/>
        <v>105</v>
      </c>
      <c r="S253" s="22">
        <f t="shared" si="21"/>
        <v>750006</v>
      </c>
      <c r="T253" s="22">
        <f>COUNTIF($V$4:V253,V253)</f>
        <v>1</v>
      </c>
      <c r="U253" s="22">
        <f>IF(T253=1,COUNTIF($T$4:T253,1),"")</f>
        <v>10</v>
      </c>
      <c r="V253" s="23" t="str">
        <f t="shared" si="22"/>
        <v>手稲区03認定こども園</v>
      </c>
      <c r="W253" s="23" t="str">
        <f t="shared" si="23"/>
        <v>まえだ認定こども園</v>
      </c>
      <c r="X253" s="24"/>
      <c r="Y253" s="23"/>
    </row>
    <row r="254" spans="1:25" ht="11.25" customHeight="1" outlineLevel="1">
      <c r="A254" s="16">
        <v>750008</v>
      </c>
      <c r="B254" s="20" t="s">
        <v>199</v>
      </c>
      <c r="C254" s="20" t="s">
        <v>531</v>
      </c>
      <c r="D254" s="20" t="s">
        <v>1069</v>
      </c>
      <c r="E254" s="20" t="s">
        <v>228</v>
      </c>
      <c r="F254" s="21" t="s">
        <v>1152</v>
      </c>
      <c r="G254" s="21">
        <v>10</v>
      </c>
      <c r="H254" s="21">
        <v>58</v>
      </c>
      <c r="I254" s="21">
        <v>32</v>
      </c>
      <c r="J254" s="42">
        <v>100</v>
      </c>
      <c r="K254" s="21">
        <v>10</v>
      </c>
      <c r="L254" s="21">
        <v>58</v>
      </c>
      <c r="M254" s="21">
        <v>6</v>
      </c>
      <c r="N254" s="21">
        <v>26</v>
      </c>
      <c r="O254" s="21">
        <v>32</v>
      </c>
      <c r="P254" s="21">
        <v>0</v>
      </c>
      <c r="Q254" s="21"/>
      <c r="R254" s="20">
        <f t="shared" si="20"/>
        <v>100</v>
      </c>
      <c r="S254" s="22">
        <f t="shared" si="21"/>
        <v>750008</v>
      </c>
      <c r="T254" s="22">
        <f>COUNTIF($V$4:V254,V254)</f>
        <v>2</v>
      </c>
      <c r="U254" s="22" t="str">
        <f>IF(T254=1,COUNTIF($T$4:T254,1),"")</f>
        <v/>
      </c>
      <c r="V254" s="23" t="str">
        <f t="shared" si="22"/>
        <v>手稲区03認定こども園</v>
      </c>
      <c r="W254" s="23" t="str">
        <f t="shared" si="23"/>
        <v>星置ピノキオ認定こども園</v>
      </c>
      <c r="X254" s="24"/>
      <c r="Y254" s="23"/>
    </row>
    <row r="255" spans="1:25" ht="11.25" customHeight="1" outlineLevel="1">
      <c r="A255" s="16">
        <v>750010</v>
      </c>
      <c r="B255" s="20" t="s">
        <v>199</v>
      </c>
      <c r="C255" s="20" t="s">
        <v>531</v>
      </c>
      <c r="D255" s="20" t="s">
        <v>1069</v>
      </c>
      <c r="E255" s="20" t="s">
        <v>228</v>
      </c>
      <c r="F255" s="21" t="s">
        <v>1153</v>
      </c>
      <c r="G255" s="21">
        <v>12</v>
      </c>
      <c r="H255" s="21">
        <v>44</v>
      </c>
      <c r="I255" s="21">
        <v>36</v>
      </c>
      <c r="J255" s="42">
        <v>92</v>
      </c>
      <c r="K255" s="21">
        <v>12</v>
      </c>
      <c r="L255" s="21">
        <v>40</v>
      </c>
      <c r="M255" s="21">
        <v>6</v>
      </c>
      <c r="N255" s="21">
        <v>24</v>
      </c>
      <c r="O255" s="1358">
        <v>10</v>
      </c>
      <c r="P255" s="21">
        <v>20</v>
      </c>
      <c r="Q255" s="21"/>
      <c r="R255" s="20">
        <f t="shared" si="20"/>
        <v>62</v>
      </c>
      <c r="S255" s="22">
        <f t="shared" si="21"/>
        <v>750010</v>
      </c>
      <c r="T255" s="22">
        <f>COUNTIF($V$4:V255,V255)</f>
        <v>3</v>
      </c>
      <c r="U255" s="22" t="str">
        <f>IF(T255=1,COUNTIF($T$4:T255,1),"")</f>
        <v/>
      </c>
      <c r="V255" s="23" t="str">
        <f t="shared" si="22"/>
        <v>手稲区03認定こども園</v>
      </c>
      <c r="W255" s="23" t="str">
        <f t="shared" si="23"/>
        <v>ていねあすなろ認定こども園</v>
      </c>
      <c r="X255" s="24"/>
      <c r="Y255" s="23"/>
    </row>
    <row r="256" spans="1:25" ht="11.25" customHeight="1" outlineLevel="1">
      <c r="A256" s="16">
        <v>750012</v>
      </c>
      <c r="B256" s="20" t="s">
        <v>199</v>
      </c>
      <c r="C256" s="20" t="s">
        <v>531</v>
      </c>
      <c r="D256" s="20" t="s">
        <v>1069</v>
      </c>
      <c r="E256" s="20" t="s">
        <v>228</v>
      </c>
      <c r="F256" s="21" t="s">
        <v>1154</v>
      </c>
      <c r="G256" s="21">
        <v>200</v>
      </c>
      <c r="H256" s="21">
        <v>51</v>
      </c>
      <c r="I256" s="21">
        <v>39</v>
      </c>
      <c r="J256" s="42">
        <v>290</v>
      </c>
      <c r="K256" s="21">
        <v>120</v>
      </c>
      <c r="L256" s="21">
        <v>51</v>
      </c>
      <c r="M256" s="21">
        <v>5</v>
      </c>
      <c r="N256" s="21">
        <v>34</v>
      </c>
      <c r="O256" s="21">
        <v>39</v>
      </c>
      <c r="P256" s="21">
        <v>0</v>
      </c>
      <c r="Q256" s="21"/>
      <c r="R256" s="20">
        <f t="shared" si="20"/>
        <v>210</v>
      </c>
      <c r="S256" s="22">
        <f t="shared" si="21"/>
        <v>750012</v>
      </c>
      <c r="T256" s="22">
        <f>COUNTIF($V$4:V256,V256)</f>
        <v>4</v>
      </c>
      <c r="U256" s="22" t="str">
        <f>IF(T256=1,COUNTIF($T$4:T256,1),"")</f>
        <v/>
      </c>
      <c r="V256" s="23" t="str">
        <f t="shared" si="22"/>
        <v>手稲区03認定こども園</v>
      </c>
      <c r="W256" s="23" t="str">
        <f t="shared" si="23"/>
        <v>認定こども園まつばの杜</v>
      </c>
      <c r="X256" s="24"/>
      <c r="Y256" s="23"/>
    </row>
    <row r="257" spans="1:25" ht="11.25" customHeight="1" outlineLevel="1">
      <c r="A257" s="16">
        <v>750015</v>
      </c>
      <c r="B257" s="20" t="s">
        <v>199</v>
      </c>
      <c r="C257" s="20" t="s">
        <v>531</v>
      </c>
      <c r="D257" s="20" t="s">
        <v>1078</v>
      </c>
      <c r="E257" s="20" t="s">
        <v>228</v>
      </c>
      <c r="F257" s="21" t="s">
        <v>1327</v>
      </c>
      <c r="G257" s="21">
        <v>15</v>
      </c>
      <c r="H257" s="21">
        <v>68</v>
      </c>
      <c r="I257" s="21">
        <v>57</v>
      </c>
      <c r="J257" s="42">
        <v>140</v>
      </c>
      <c r="K257" s="21">
        <v>15</v>
      </c>
      <c r="L257" s="21">
        <v>68</v>
      </c>
      <c r="M257" s="21">
        <v>13</v>
      </c>
      <c r="N257" s="21">
        <v>44</v>
      </c>
      <c r="O257" s="1358">
        <v>22</v>
      </c>
      <c r="P257" s="21">
        <v>35</v>
      </c>
      <c r="Q257" s="21"/>
      <c r="R257" s="20">
        <f t="shared" si="20"/>
        <v>105</v>
      </c>
      <c r="S257" s="22">
        <f t="shared" si="21"/>
        <v>750015</v>
      </c>
      <c r="T257" s="22">
        <f>COUNTIF($V$4:V257,V257)</f>
        <v>5</v>
      </c>
      <c r="U257" s="22" t="str">
        <f>IF(T257=1,COUNTIF($T$4:T257,1),"")</f>
        <v/>
      </c>
      <c r="V257" s="23" t="str">
        <f t="shared" si="22"/>
        <v>手稲区03認定こども園</v>
      </c>
      <c r="W257" s="23" t="str">
        <f t="shared" si="23"/>
        <v>手稲やまなみ子ども園</v>
      </c>
      <c r="X257" s="24"/>
      <c r="Y257" s="23"/>
    </row>
    <row r="258" spans="1:25" ht="11.25" customHeight="1" outlineLevel="1">
      <c r="A258" s="16">
        <v>750024</v>
      </c>
      <c r="B258" s="20" t="s">
        <v>199</v>
      </c>
      <c r="C258" s="20" t="s">
        <v>531</v>
      </c>
      <c r="D258" s="20" t="s">
        <v>1069</v>
      </c>
      <c r="E258" s="20" t="s">
        <v>228</v>
      </c>
      <c r="F258" s="21" t="s">
        <v>1155</v>
      </c>
      <c r="G258" s="21">
        <v>175</v>
      </c>
      <c r="H258" s="21">
        <v>45</v>
      </c>
      <c r="I258" s="21">
        <v>35</v>
      </c>
      <c r="J258" s="42">
        <v>255</v>
      </c>
      <c r="K258" s="21">
        <v>175</v>
      </c>
      <c r="L258" s="21">
        <v>45</v>
      </c>
      <c r="M258" s="21">
        <v>5</v>
      </c>
      <c r="N258" s="21">
        <v>30</v>
      </c>
      <c r="O258" s="21">
        <v>35</v>
      </c>
      <c r="P258" s="21">
        <v>0</v>
      </c>
      <c r="Q258" s="21"/>
      <c r="R258" s="20">
        <f t="shared" si="20"/>
        <v>255</v>
      </c>
      <c r="S258" s="22">
        <f t="shared" si="21"/>
        <v>750024</v>
      </c>
      <c r="T258" s="22">
        <f>COUNTIF($V$4:V258,V258)</f>
        <v>6</v>
      </c>
      <c r="U258" s="22" t="str">
        <f>IF(T258=1,COUNTIF($T$4:T258,1),"")</f>
        <v/>
      </c>
      <c r="V258" s="23" t="str">
        <f t="shared" si="22"/>
        <v>手稲区03認定こども園</v>
      </c>
      <c r="W258" s="23" t="str">
        <f t="shared" si="23"/>
        <v>認定こども園ほしおきガーデン星の子幼稚園</v>
      </c>
      <c r="X258" s="24"/>
      <c r="Y258" s="23"/>
    </row>
    <row r="259" spans="1:25" ht="11.25" customHeight="1" outlineLevel="1">
      <c r="A259" s="16">
        <v>750028</v>
      </c>
      <c r="B259" s="20" t="s">
        <v>199</v>
      </c>
      <c r="C259" s="20" t="s">
        <v>531</v>
      </c>
      <c r="D259" s="20" t="s">
        <v>1078</v>
      </c>
      <c r="E259" s="20" t="s">
        <v>228</v>
      </c>
      <c r="F259" s="21" t="s">
        <v>1156</v>
      </c>
      <c r="G259" s="21">
        <v>240</v>
      </c>
      <c r="H259" s="21">
        <v>37</v>
      </c>
      <c r="I259" s="21">
        <v>23</v>
      </c>
      <c r="J259" s="42">
        <v>300</v>
      </c>
      <c r="K259" s="21">
        <v>150</v>
      </c>
      <c r="L259" s="21">
        <v>37</v>
      </c>
      <c r="M259" s="21">
        <v>3</v>
      </c>
      <c r="N259" s="21">
        <v>20</v>
      </c>
      <c r="O259" s="21">
        <v>23</v>
      </c>
      <c r="P259" s="21">
        <v>0</v>
      </c>
      <c r="Q259" s="21"/>
      <c r="R259" s="20">
        <f t="shared" si="20"/>
        <v>210</v>
      </c>
      <c r="S259" s="22">
        <f t="shared" si="21"/>
        <v>750028</v>
      </c>
      <c r="T259" s="22">
        <f>COUNTIF($V$4:V259,V259)</f>
        <v>7</v>
      </c>
      <c r="U259" s="22" t="str">
        <f>IF(T259=1,COUNTIF($T$4:T259,1),"")</f>
        <v/>
      </c>
      <c r="V259" s="23" t="str">
        <f t="shared" si="22"/>
        <v>手稲区03認定こども園</v>
      </c>
      <c r="W259" s="23" t="str">
        <f t="shared" si="23"/>
        <v>幼保連携型認定こども園山王幼稚園</v>
      </c>
      <c r="X259" s="24"/>
      <c r="Y259" s="23"/>
    </row>
    <row r="260" spans="1:25" ht="11.25" customHeight="1" outlineLevel="1">
      <c r="A260" s="16">
        <v>750037</v>
      </c>
      <c r="B260" s="20" t="s">
        <v>199</v>
      </c>
      <c r="C260" s="20" t="s">
        <v>531</v>
      </c>
      <c r="D260" s="20" t="s">
        <v>1078</v>
      </c>
      <c r="E260" s="20" t="s">
        <v>228</v>
      </c>
      <c r="F260" s="21" t="s">
        <v>1464</v>
      </c>
      <c r="G260" s="21">
        <v>180</v>
      </c>
      <c r="H260" s="21">
        <v>90</v>
      </c>
      <c r="I260" s="21">
        <v>51</v>
      </c>
      <c r="J260" s="42">
        <v>321</v>
      </c>
      <c r="K260" s="21">
        <v>180</v>
      </c>
      <c r="L260" s="21">
        <v>90</v>
      </c>
      <c r="M260" s="21">
        <v>9</v>
      </c>
      <c r="N260" s="21">
        <v>42</v>
      </c>
      <c r="O260" s="21">
        <v>51</v>
      </c>
      <c r="P260" s="21">
        <v>0</v>
      </c>
      <c r="Q260" s="21"/>
      <c r="R260" s="20">
        <f t="shared" si="20"/>
        <v>321</v>
      </c>
      <c r="S260" s="22">
        <f t="shared" si="21"/>
        <v>750037</v>
      </c>
      <c r="T260" s="22">
        <f>COUNTIF($V$4:V260,V260)</f>
        <v>8</v>
      </c>
      <c r="U260" s="22" t="str">
        <f>IF(T260=1,COUNTIF($T$4:T260,1),"")</f>
        <v/>
      </c>
      <c r="V260" s="23" t="str">
        <f t="shared" si="22"/>
        <v>手稲区03認定こども園</v>
      </c>
      <c r="W260" s="23" t="str">
        <f t="shared" si="23"/>
        <v>認定こども園まえだ幼稚園</v>
      </c>
      <c r="X260" s="24"/>
      <c r="Y260" s="23"/>
    </row>
    <row r="261" spans="1:25" ht="11.25" customHeight="1" outlineLevel="1">
      <c r="A261" s="16">
        <v>750045</v>
      </c>
      <c r="B261" s="20" t="s">
        <v>199</v>
      </c>
      <c r="C261" s="20" t="s">
        <v>531</v>
      </c>
      <c r="D261" s="20" t="s">
        <v>1078</v>
      </c>
      <c r="E261" s="20" t="s">
        <v>228</v>
      </c>
      <c r="F261" s="21" t="s">
        <v>1328</v>
      </c>
      <c r="G261" s="21">
        <v>392</v>
      </c>
      <c r="H261" s="21">
        <v>60</v>
      </c>
      <c r="I261" s="21">
        <v>15</v>
      </c>
      <c r="J261" s="42">
        <v>467</v>
      </c>
      <c r="K261" s="21">
        <v>392</v>
      </c>
      <c r="L261" s="21">
        <v>60</v>
      </c>
      <c r="M261" s="21">
        <v>3</v>
      </c>
      <c r="N261" s="21">
        <v>12</v>
      </c>
      <c r="O261" s="21">
        <v>15</v>
      </c>
      <c r="P261" s="21">
        <v>0</v>
      </c>
      <c r="Q261" s="21"/>
      <c r="R261" s="20">
        <f t="shared" ref="R261:R271" si="24">SUM(K261,L261,O261)</f>
        <v>467</v>
      </c>
      <c r="S261" s="22">
        <f t="shared" si="21"/>
        <v>750045</v>
      </c>
      <c r="T261" s="22">
        <f>COUNTIF($V$4:V261,V261)</f>
        <v>9</v>
      </c>
      <c r="U261" s="22" t="str">
        <f>IF(T261=1,COUNTIF($T$4:T261,1),"")</f>
        <v/>
      </c>
      <c r="V261" s="23" t="str">
        <f t="shared" si="22"/>
        <v>手稲区03認定こども園</v>
      </c>
      <c r="W261" s="23" t="str">
        <f t="shared" si="23"/>
        <v>認定こども園おおぞら幼稚園</v>
      </c>
      <c r="X261" s="24"/>
      <c r="Y261" s="23"/>
    </row>
    <row r="262" spans="1:25" ht="11.25" customHeight="1" outlineLevel="1">
      <c r="A262" s="16">
        <v>750046</v>
      </c>
      <c r="B262" s="20" t="s">
        <v>199</v>
      </c>
      <c r="C262" s="20" t="s">
        <v>531</v>
      </c>
      <c r="D262" s="20" t="s">
        <v>1078</v>
      </c>
      <c r="E262" s="20" t="s">
        <v>228</v>
      </c>
      <c r="F262" s="21" t="s">
        <v>1465</v>
      </c>
      <c r="G262" s="21">
        <v>15</v>
      </c>
      <c r="H262" s="21">
        <v>51</v>
      </c>
      <c r="I262" s="21">
        <v>39</v>
      </c>
      <c r="J262" s="42">
        <v>105</v>
      </c>
      <c r="K262" s="21">
        <v>15</v>
      </c>
      <c r="L262" s="21">
        <v>51</v>
      </c>
      <c r="M262" s="21">
        <v>5</v>
      </c>
      <c r="N262" s="21">
        <v>34</v>
      </c>
      <c r="O262" s="21">
        <v>39</v>
      </c>
      <c r="P262" s="21">
        <v>0</v>
      </c>
      <c r="Q262" s="21"/>
      <c r="R262" s="20">
        <f t="shared" si="24"/>
        <v>105</v>
      </c>
      <c r="S262" s="22">
        <f t="shared" ref="S262:S325" si="25">A262</f>
        <v>750046</v>
      </c>
      <c r="T262" s="22">
        <f>COUNTIF($V$4:V262,V262)</f>
        <v>10</v>
      </c>
      <c r="U262" s="22" t="str">
        <f>IF(T262=1,COUNTIF($T$4:T262,1),"")</f>
        <v/>
      </c>
      <c r="V262" s="23" t="str">
        <f t="shared" ref="V262:V325" si="26">$E262&amp;$C262</f>
        <v>手稲区03認定こども園</v>
      </c>
      <c r="W262" s="23" t="str">
        <f t="shared" ref="W262:W325" si="27">$F262</f>
        <v>しんはっさむライラックこども園</v>
      </c>
      <c r="X262" s="24"/>
      <c r="Y262" s="23"/>
    </row>
    <row r="263" spans="1:25" ht="11.25" customHeight="1" outlineLevel="1">
      <c r="A263" s="16">
        <v>750036</v>
      </c>
      <c r="B263" s="20" t="s">
        <v>199</v>
      </c>
      <c r="C263" s="20" t="s">
        <v>531</v>
      </c>
      <c r="D263" s="20" t="s">
        <v>1072</v>
      </c>
      <c r="E263" s="20" t="s">
        <v>228</v>
      </c>
      <c r="F263" s="21" t="s">
        <v>1332</v>
      </c>
      <c r="G263" s="21">
        <v>111</v>
      </c>
      <c r="H263" s="21">
        <v>39</v>
      </c>
      <c r="I263" s="21">
        <v>0</v>
      </c>
      <c r="J263" s="42">
        <v>150</v>
      </c>
      <c r="K263" s="21">
        <v>111</v>
      </c>
      <c r="L263" s="21">
        <v>39</v>
      </c>
      <c r="M263" s="21">
        <v>0</v>
      </c>
      <c r="N263" s="21">
        <v>0</v>
      </c>
      <c r="O263" s="21">
        <v>0</v>
      </c>
      <c r="P263" s="21">
        <v>0</v>
      </c>
      <c r="Q263" s="21"/>
      <c r="R263" s="20">
        <f t="shared" si="24"/>
        <v>150</v>
      </c>
      <c r="S263" s="22">
        <f t="shared" si="25"/>
        <v>750036</v>
      </c>
      <c r="T263" s="22">
        <f>COUNTIF($V$4:V263,V263)</f>
        <v>11</v>
      </c>
      <c r="U263" s="22" t="str">
        <f>IF(T263=1,COUNTIF($T$4:T263,1),"")</f>
        <v/>
      </c>
      <c r="V263" s="23" t="str">
        <f t="shared" si="26"/>
        <v>手稲区03認定こども園</v>
      </c>
      <c r="W263" s="23" t="str">
        <f t="shared" si="27"/>
        <v>認定こども園いなほガーデン星の子幼稚園</v>
      </c>
      <c r="X263" s="24"/>
      <c r="Y263" s="23"/>
    </row>
    <row r="264" spans="1:25" ht="11.25" customHeight="1" outlineLevel="1">
      <c r="A264" s="16">
        <v>750002</v>
      </c>
      <c r="B264" s="20" t="s">
        <v>199</v>
      </c>
      <c r="C264" s="20" t="s">
        <v>531</v>
      </c>
      <c r="D264" s="20" t="s">
        <v>1067</v>
      </c>
      <c r="E264" s="20" t="s">
        <v>228</v>
      </c>
      <c r="F264" s="21" t="s">
        <v>1329</v>
      </c>
      <c r="G264" s="21">
        <v>15</v>
      </c>
      <c r="H264" s="21">
        <v>90</v>
      </c>
      <c r="I264" s="21">
        <v>70</v>
      </c>
      <c r="J264" s="42">
        <v>175</v>
      </c>
      <c r="K264" s="21">
        <v>15</v>
      </c>
      <c r="L264" s="21">
        <v>90</v>
      </c>
      <c r="M264" s="21">
        <v>20</v>
      </c>
      <c r="N264" s="21">
        <v>50</v>
      </c>
      <c r="O264" s="21">
        <v>70</v>
      </c>
      <c r="P264" s="21">
        <v>0</v>
      </c>
      <c r="Q264" s="21"/>
      <c r="R264" s="20">
        <f t="shared" si="24"/>
        <v>175</v>
      </c>
      <c r="S264" s="22">
        <f t="shared" si="25"/>
        <v>750002</v>
      </c>
      <c r="T264" s="22">
        <f>COUNTIF($V$4:V264,V264)</f>
        <v>12</v>
      </c>
      <c r="U264" s="22" t="str">
        <f>IF(T264=1,COUNTIF($T$4:T264,1),"")</f>
        <v/>
      </c>
      <c r="V264" s="23" t="str">
        <f t="shared" si="26"/>
        <v>手稲区03認定こども園</v>
      </c>
      <c r="W264" s="23" t="str">
        <f t="shared" si="27"/>
        <v>あかつき山口保育園</v>
      </c>
      <c r="X264" s="24"/>
      <c r="Y264" s="23"/>
    </row>
    <row r="265" spans="1:25" ht="11.25" customHeight="1" outlineLevel="1">
      <c r="A265" s="16">
        <v>750003</v>
      </c>
      <c r="B265" s="20" t="s">
        <v>199</v>
      </c>
      <c r="C265" s="20" t="s">
        <v>531</v>
      </c>
      <c r="D265" s="20" t="s">
        <v>1067</v>
      </c>
      <c r="E265" s="20" t="s">
        <v>228</v>
      </c>
      <c r="F265" s="21" t="s">
        <v>1466</v>
      </c>
      <c r="G265" s="21">
        <v>15</v>
      </c>
      <c r="H265" s="21">
        <v>90</v>
      </c>
      <c r="I265" s="21">
        <v>70</v>
      </c>
      <c r="J265" s="42">
        <v>175</v>
      </c>
      <c r="K265" s="21">
        <v>15</v>
      </c>
      <c r="L265" s="21">
        <v>75</v>
      </c>
      <c r="M265" s="21">
        <v>15</v>
      </c>
      <c r="N265" s="21">
        <v>50</v>
      </c>
      <c r="O265" s="21">
        <v>65</v>
      </c>
      <c r="P265" s="21">
        <v>0</v>
      </c>
      <c r="Q265" s="21"/>
      <c r="R265" s="20">
        <f t="shared" si="24"/>
        <v>155</v>
      </c>
      <c r="S265" s="22">
        <f t="shared" si="25"/>
        <v>750003</v>
      </c>
      <c r="T265" s="22">
        <f>COUNTIF($V$4:V265,V265)</f>
        <v>13</v>
      </c>
      <c r="U265" s="22" t="str">
        <f>IF(T265=1,COUNTIF($T$4:T265,1),"")</f>
        <v/>
      </c>
      <c r="V265" s="23" t="str">
        <f t="shared" si="26"/>
        <v>手稲区03認定こども園</v>
      </c>
      <c r="W265" s="23" t="str">
        <f t="shared" si="27"/>
        <v>手稲曙保育園</v>
      </c>
      <c r="X265" s="24"/>
      <c r="Y265" s="23"/>
    </row>
    <row r="266" spans="1:25" ht="11.25" customHeight="1" outlineLevel="1">
      <c r="A266" s="16">
        <v>750007</v>
      </c>
      <c r="B266" s="20" t="s">
        <v>199</v>
      </c>
      <c r="C266" s="20" t="s">
        <v>531</v>
      </c>
      <c r="D266" s="20" t="s">
        <v>1067</v>
      </c>
      <c r="E266" s="20" t="s">
        <v>228</v>
      </c>
      <c r="F266" s="21" t="s">
        <v>1330</v>
      </c>
      <c r="G266" s="21">
        <v>15</v>
      </c>
      <c r="H266" s="21">
        <v>54</v>
      </c>
      <c r="I266" s="21">
        <v>36</v>
      </c>
      <c r="J266" s="42">
        <v>105</v>
      </c>
      <c r="K266" s="21">
        <v>15</v>
      </c>
      <c r="L266" s="21">
        <v>54</v>
      </c>
      <c r="M266" s="21">
        <v>6</v>
      </c>
      <c r="N266" s="21">
        <v>30</v>
      </c>
      <c r="O266" s="21">
        <v>36</v>
      </c>
      <c r="P266" s="21">
        <v>0</v>
      </c>
      <c r="Q266" s="21"/>
      <c r="R266" s="20">
        <f t="shared" si="24"/>
        <v>105</v>
      </c>
      <c r="S266" s="22">
        <f t="shared" si="25"/>
        <v>750007</v>
      </c>
      <c r="T266" s="22">
        <f>COUNTIF($V$4:V266,V266)</f>
        <v>14</v>
      </c>
      <c r="U266" s="22" t="str">
        <f>IF(T266=1,COUNTIF($T$4:T266,1),"")</f>
        <v/>
      </c>
      <c r="V266" s="23" t="str">
        <f t="shared" si="26"/>
        <v>手稲区03認定こども園</v>
      </c>
      <c r="W266" s="23" t="str">
        <f t="shared" si="27"/>
        <v>前田中央保育園</v>
      </c>
      <c r="X266" s="24"/>
      <c r="Y266" s="23"/>
    </row>
    <row r="267" spans="1:25" ht="11.25" customHeight="1" outlineLevel="1">
      <c r="A267" s="16">
        <v>750011</v>
      </c>
      <c r="B267" s="20" t="s">
        <v>199</v>
      </c>
      <c r="C267" s="20" t="s">
        <v>531</v>
      </c>
      <c r="D267" s="20" t="s">
        <v>1067</v>
      </c>
      <c r="E267" s="20" t="s">
        <v>228</v>
      </c>
      <c r="F267" s="21" t="s">
        <v>1331</v>
      </c>
      <c r="G267" s="21">
        <v>11</v>
      </c>
      <c r="H267" s="21">
        <v>42</v>
      </c>
      <c r="I267" s="21">
        <v>18</v>
      </c>
      <c r="J267" s="42">
        <v>71</v>
      </c>
      <c r="K267" s="21">
        <v>11</v>
      </c>
      <c r="L267" s="21">
        <v>25</v>
      </c>
      <c r="M267" s="21">
        <v>3</v>
      </c>
      <c r="N267" s="21">
        <v>12</v>
      </c>
      <c r="O267" s="21">
        <v>15</v>
      </c>
      <c r="P267" s="21">
        <v>0</v>
      </c>
      <c r="Q267" s="21"/>
      <c r="R267" s="20">
        <f t="shared" si="24"/>
        <v>51</v>
      </c>
      <c r="S267" s="22">
        <f t="shared" si="25"/>
        <v>750011</v>
      </c>
      <c r="T267" s="22">
        <f>COUNTIF($V$4:V267,V267)</f>
        <v>15</v>
      </c>
      <c r="U267" s="22" t="str">
        <f>IF(T267=1,COUNTIF($T$4:T267,1),"")</f>
        <v/>
      </c>
      <c r="V267" s="23" t="str">
        <f t="shared" si="26"/>
        <v>手稲区03認定こども園</v>
      </c>
      <c r="W267" s="23" t="str">
        <f t="shared" si="27"/>
        <v>稲穂中央保育園</v>
      </c>
      <c r="X267" s="24"/>
      <c r="Y267" s="23"/>
    </row>
    <row r="268" spans="1:25" ht="11.25" customHeight="1" outlineLevel="1">
      <c r="A268" s="16">
        <v>750047</v>
      </c>
      <c r="B268" s="20" t="s">
        <v>199</v>
      </c>
      <c r="C268" s="20" t="s">
        <v>531</v>
      </c>
      <c r="D268" s="20" t="s">
        <v>1284</v>
      </c>
      <c r="E268" s="20" t="s">
        <v>228</v>
      </c>
      <c r="F268" s="21" t="s">
        <v>1677</v>
      </c>
      <c r="G268" s="21">
        <v>6</v>
      </c>
      <c r="H268" s="21">
        <v>35</v>
      </c>
      <c r="I268" s="21">
        <v>25</v>
      </c>
      <c r="J268" s="42">
        <v>66</v>
      </c>
      <c r="K268" s="21">
        <v>6</v>
      </c>
      <c r="L268" s="21">
        <v>35</v>
      </c>
      <c r="M268" s="21">
        <v>3</v>
      </c>
      <c r="N268" s="21">
        <v>22</v>
      </c>
      <c r="O268" s="21">
        <v>25</v>
      </c>
      <c r="P268" s="21">
        <v>0</v>
      </c>
      <c r="Q268" s="21"/>
      <c r="R268" s="20">
        <f t="shared" si="24"/>
        <v>66</v>
      </c>
      <c r="S268" s="22">
        <f t="shared" si="25"/>
        <v>750047</v>
      </c>
      <c r="T268" s="22">
        <f>COUNTIF($V$4:V268,V268)</f>
        <v>16</v>
      </c>
      <c r="U268" s="22" t="str">
        <f>IF(T268=1,COUNTIF($T$4:T268,1),"")</f>
        <v/>
      </c>
      <c r="V268" s="23" t="str">
        <f t="shared" si="26"/>
        <v>手稲区03認定こども園</v>
      </c>
      <c r="W268" s="23" t="str">
        <f t="shared" si="27"/>
        <v>認定こども園スター保育園前田園</v>
      </c>
      <c r="X268" s="24"/>
      <c r="Y268" s="23"/>
    </row>
    <row r="269" spans="1:25" ht="11.25" customHeight="1" outlineLevel="1">
      <c r="A269" s="16">
        <v>750048</v>
      </c>
      <c r="B269" s="20" t="s">
        <v>199</v>
      </c>
      <c r="C269" s="20" t="s">
        <v>531</v>
      </c>
      <c r="D269" s="20" t="s">
        <v>1067</v>
      </c>
      <c r="E269" s="20" t="s">
        <v>228</v>
      </c>
      <c r="F269" s="21" t="s">
        <v>1570</v>
      </c>
      <c r="G269" s="21">
        <v>3</v>
      </c>
      <c r="H269" s="21">
        <v>24</v>
      </c>
      <c r="I269" s="21">
        <v>16</v>
      </c>
      <c r="J269" s="42">
        <v>43</v>
      </c>
      <c r="K269" s="21">
        <v>3</v>
      </c>
      <c r="L269" s="21">
        <v>24</v>
      </c>
      <c r="M269" s="21">
        <v>2</v>
      </c>
      <c r="N269" s="21">
        <v>14</v>
      </c>
      <c r="O269" s="21">
        <v>16</v>
      </c>
      <c r="P269" s="21">
        <v>0</v>
      </c>
      <c r="Q269" s="21"/>
      <c r="R269" s="20">
        <f t="shared" si="24"/>
        <v>43</v>
      </c>
      <c r="S269" s="22">
        <f t="shared" si="25"/>
        <v>750048</v>
      </c>
      <c r="T269" s="22">
        <f>COUNTIF($V$4:V269,V269)</f>
        <v>17</v>
      </c>
      <c r="U269" s="22" t="str">
        <f>IF(T269=1,COUNTIF($T$4:T269,1),"")</f>
        <v/>
      </c>
      <c r="V269" s="23" t="str">
        <f t="shared" si="26"/>
        <v>手稲区03認定こども園</v>
      </c>
      <c r="W269" s="23" t="str">
        <f t="shared" si="27"/>
        <v>認定こども園新発寒みつばち保育園</v>
      </c>
      <c r="X269" s="24"/>
      <c r="Y269" s="23"/>
    </row>
    <row r="270" spans="1:25" ht="11.25" customHeight="1" outlineLevel="1">
      <c r="A270" s="16">
        <v>750049</v>
      </c>
      <c r="B270" s="20" t="s">
        <v>199</v>
      </c>
      <c r="C270" s="20" t="s">
        <v>531</v>
      </c>
      <c r="D270" s="20" t="s">
        <v>1067</v>
      </c>
      <c r="E270" s="20" t="s">
        <v>228</v>
      </c>
      <c r="F270" s="21" t="s">
        <v>1571</v>
      </c>
      <c r="G270" s="21">
        <v>4</v>
      </c>
      <c r="H270" s="21">
        <v>24</v>
      </c>
      <c r="I270" s="21">
        <v>16</v>
      </c>
      <c r="J270" s="42">
        <v>44</v>
      </c>
      <c r="K270" s="21">
        <v>4</v>
      </c>
      <c r="L270" s="21">
        <v>24</v>
      </c>
      <c r="M270" s="21">
        <v>2</v>
      </c>
      <c r="N270" s="21">
        <v>14</v>
      </c>
      <c r="O270" s="21">
        <v>16</v>
      </c>
      <c r="P270" s="21">
        <v>0</v>
      </c>
      <c r="Q270" s="21"/>
      <c r="R270" s="20">
        <f t="shared" si="24"/>
        <v>44</v>
      </c>
      <c r="S270" s="22">
        <f t="shared" si="25"/>
        <v>750049</v>
      </c>
      <c r="T270" s="22">
        <f>COUNTIF($V$4:V270,V270)</f>
        <v>18</v>
      </c>
      <c r="U270" s="22" t="str">
        <f>IF(T270=1,COUNTIF($T$4:T270,1),"")</f>
        <v/>
      </c>
      <c r="V270" s="23" t="str">
        <f t="shared" si="26"/>
        <v>手稲区03認定こども園</v>
      </c>
      <c r="W270" s="23" t="str">
        <f t="shared" si="27"/>
        <v>認定こども園手稲みつばち保育園</v>
      </c>
      <c r="X270" s="24"/>
      <c r="Y270" s="23"/>
    </row>
    <row r="271" spans="1:25" ht="11.25" customHeight="1" outlineLevel="1">
      <c r="A271" s="16">
        <v>750038</v>
      </c>
      <c r="B271" s="20" t="s">
        <v>199</v>
      </c>
      <c r="C271" s="20" t="s">
        <v>531</v>
      </c>
      <c r="D271" s="20" t="s">
        <v>1071</v>
      </c>
      <c r="E271" s="20" t="s">
        <v>228</v>
      </c>
      <c r="F271" s="21" t="s">
        <v>1157</v>
      </c>
      <c r="G271" s="21">
        <v>45</v>
      </c>
      <c r="H271" s="21">
        <v>60</v>
      </c>
      <c r="I271" s="21">
        <v>15</v>
      </c>
      <c r="J271" s="42">
        <v>120</v>
      </c>
      <c r="K271" s="21">
        <v>35</v>
      </c>
      <c r="L271" s="21">
        <v>42</v>
      </c>
      <c r="M271" s="21">
        <v>0</v>
      </c>
      <c r="N271" s="21">
        <v>18</v>
      </c>
      <c r="O271" s="39">
        <v>18</v>
      </c>
      <c r="P271" s="21">
        <v>0</v>
      </c>
      <c r="Q271" s="21"/>
      <c r="R271" s="20">
        <f t="shared" si="24"/>
        <v>95</v>
      </c>
      <c r="S271" s="22">
        <f t="shared" si="25"/>
        <v>750038</v>
      </c>
      <c r="T271" s="22">
        <f>COUNTIF($V$4:V271,V271)</f>
        <v>19</v>
      </c>
      <c r="U271" s="22" t="str">
        <f>IF(T271=1,COUNTIF($T$4:T271,1),"")</f>
        <v/>
      </c>
      <c r="V271" s="23" t="str">
        <f t="shared" si="26"/>
        <v>手稲区03認定こども園</v>
      </c>
      <c r="W271" s="23" t="str">
        <f t="shared" si="27"/>
        <v>認定こども園手稲札幌アカデミー</v>
      </c>
      <c r="X271" s="24"/>
      <c r="Y271" s="23"/>
    </row>
    <row r="272" spans="1:25" ht="11.25" customHeight="1" outlineLevel="1">
      <c r="A272" s="16"/>
      <c r="B272" s="20"/>
      <c r="C272" s="20"/>
      <c r="D272" s="20"/>
      <c r="E272" s="20"/>
      <c r="F272" s="21"/>
      <c r="G272" s="21"/>
      <c r="H272" s="21"/>
      <c r="I272" s="21"/>
      <c r="J272" s="20"/>
      <c r="K272" s="21"/>
      <c r="L272" s="21"/>
      <c r="M272" s="21"/>
      <c r="N272" s="21"/>
      <c r="O272" s="39"/>
      <c r="P272" s="21"/>
      <c r="Q272" s="21"/>
      <c r="R272" s="20"/>
      <c r="S272" s="22">
        <f t="shared" si="25"/>
        <v>0</v>
      </c>
      <c r="T272" s="22">
        <f>COUNTIF($V$4:V272,V272)</f>
        <v>1</v>
      </c>
      <c r="U272" s="22">
        <f>IF(T272=1,COUNTIF($T$4:T272,1),"")</f>
        <v>11</v>
      </c>
      <c r="V272" s="23" t="str">
        <f t="shared" si="26"/>
        <v/>
      </c>
      <c r="W272" s="23">
        <f t="shared" si="27"/>
        <v>0</v>
      </c>
      <c r="X272" s="24"/>
      <c r="Y272" s="23"/>
    </row>
    <row r="273" spans="1:25" ht="11.25" customHeight="1" outlineLevel="1">
      <c r="A273" s="16"/>
      <c r="B273" s="20"/>
      <c r="C273" s="20"/>
      <c r="D273" s="20"/>
      <c r="E273" s="20"/>
      <c r="F273" s="21"/>
      <c r="G273" s="21"/>
      <c r="H273" s="21"/>
      <c r="I273" s="21"/>
      <c r="J273" s="20"/>
      <c r="K273" s="21"/>
      <c r="L273" s="21"/>
      <c r="M273" s="21"/>
      <c r="N273" s="21"/>
      <c r="O273" s="39"/>
      <c r="P273" s="21"/>
      <c r="Q273" s="21"/>
      <c r="R273" s="20"/>
      <c r="S273" s="22">
        <f t="shared" si="25"/>
        <v>0</v>
      </c>
      <c r="T273" s="22">
        <f>COUNTIF($V$4:V273,V273)</f>
        <v>2</v>
      </c>
      <c r="U273" s="22" t="str">
        <f>IF(T273=1,COUNTIF($T$4:T273,1),"")</f>
        <v/>
      </c>
      <c r="V273" s="23" t="str">
        <f t="shared" si="26"/>
        <v/>
      </c>
      <c r="W273" s="23">
        <f t="shared" si="27"/>
        <v>0</v>
      </c>
      <c r="X273" s="24"/>
      <c r="Y273" s="23"/>
    </row>
    <row r="274" spans="1:25" ht="11.25" customHeight="1" outlineLevel="1">
      <c r="A274" s="16"/>
      <c r="B274" s="20"/>
      <c r="C274" s="20"/>
      <c r="D274" s="20"/>
      <c r="E274" s="20"/>
      <c r="F274" s="21"/>
      <c r="G274" s="21"/>
      <c r="H274" s="21"/>
      <c r="I274" s="21"/>
      <c r="J274" s="20"/>
      <c r="K274" s="21"/>
      <c r="L274" s="21"/>
      <c r="M274" s="21"/>
      <c r="N274" s="21"/>
      <c r="O274" s="39"/>
      <c r="P274" s="21"/>
      <c r="Q274" s="21"/>
      <c r="R274" s="20"/>
      <c r="S274" s="22">
        <f t="shared" si="25"/>
        <v>0</v>
      </c>
      <c r="T274" s="22">
        <f>COUNTIF($V$4:V274,V274)</f>
        <v>3</v>
      </c>
      <c r="U274" s="22" t="str">
        <f>IF(T274=1,COUNTIF($T$4:T274,1),"")</f>
        <v/>
      </c>
      <c r="V274" s="23" t="str">
        <f t="shared" si="26"/>
        <v/>
      </c>
      <c r="W274" s="23">
        <f t="shared" si="27"/>
        <v>0</v>
      </c>
      <c r="X274" s="24"/>
      <c r="Y274" s="23"/>
    </row>
    <row r="275" spans="1:25" ht="11.25" customHeight="1" outlineLevel="1">
      <c r="A275" s="16"/>
      <c r="B275" s="20"/>
      <c r="C275" s="20"/>
      <c r="D275" s="20"/>
      <c r="E275" s="20"/>
      <c r="F275" s="21"/>
      <c r="G275" s="21"/>
      <c r="H275" s="21"/>
      <c r="I275" s="21"/>
      <c r="J275" s="20"/>
      <c r="K275" s="21"/>
      <c r="L275" s="21"/>
      <c r="M275" s="21"/>
      <c r="N275" s="21"/>
      <c r="O275" s="39"/>
      <c r="P275" s="21"/>
      <c r="Q275" s="21"/>
      <c r="R275" s="20"/>
      <c r="S275" s="22">
        <f t="shared" si="25"/>
        <v>0</v>
      </c>
      <c r="T275" s="22">
        <f>COUNTIF($V$4:V275,V275)</f>
        <v>4</v>
      </c>
      <c r="U275" s="22" t="str">
        <f>IF(T275=1,COUNTIF($T$4:T275,1),"")</f>
        <v/>
      </c>
      <c r="V275" s="23" t="str">
        <f t="shared" si="26"/>
        <v/>
      </c>
      <c r="W275" s="23">
        <f t="shared" si="27"/>
        <v>0</v>
      </c>
      <c r="X275" s="24"/>
      <c r="Y275" s="23"/>
    </row>
    <row r="276" spans="1:25" ht="11.25" customHeight="1" outlineLevel="1">
      <c r="A276" s="16"/>
      <c r="B276" s="20"/>
      <c r="C276" s="20"/>
      <c r="D276" s="20"/>
      <c r="E276" s="20"/>
      <c r="F276" s="21"/>
      <c r="G276" s="21"/>
      <c r="H276" s="21"/>
      <c r="I276" s="21"/>
      <c r="J276" s="20"/>
      <c r="K276" s="21"/>
      <c r="L276" s="21"/>
      <c r="M276" s="21"/>
      <c r="N276" s="21"/>
      <c r="O276" s="39"/>
      <c r="P276" s="21"/>
      <c r="Q276" s="21"/>
      <c r="R276" s="20"/>
      <c r="S276" s="22">
        <f t="shared" si="25"/>
        <v>0</v>
      </c>
      <c r="T276" s="22">
        <f>COUNTIF($V$4:V276,V276)</f>
        <v>5</v>
      </c>
      <c r="U276" s="22" t="str">
        <f>IF(T276=1,COUNTIF($T$4:T276,1),"")</f>
        <v/>
      </c>
      <c r="V276" s="23" t="str">
        <f t="shared" si="26"/>
        <v/>
      </c>
      <c r="W276" s="23">
        <f t="shared" si="27"/>
        <v>0</v>
      </c>
      <c r="X276" s="24"/>
      <c r="Y276" s="23"/>
    </row>
    <row r="277" spans="1:25" ht="11.25" customHeight="1" outlineLevel="1">
      <c r="A277" s="16"/>
      <c r="B277" s="20"/>
      <c r="C277" s="20"/>
      <c r="D277" s="20"/>
      <c r="E277" s="20"/>
      <c r="F277" s="21"/>
      <c r="G277" s="21"/>
      <c r="H277" s="21"/>
      <c r="I277" s="21"/>
      <c r="J277" s="20"/>
      <c r="K277" s="21"/>
      <c r="L277" s="21"/>
      <c r="M277" s="21"/>
      <c r="N277" s="21"/>
      <c r="O277" s="39"/>
      <c r="P277" s="21"/>
      <c r="Q277" s="21"/>
      <c r="R277" s="20"/>
      <c r="S277" s="22">
        <f t="shared" si="25"/>
        <v>0</v>
      </c>
      <c r="T277" s="22">
        <f>COUNTIF($V$4:V277,V277)</f>
        <v>6</v>
      </c>
      <c r="U277" s="22" t="str">
        <f>IF(T277=1,COUNTIF($T$4:T277,1),"")</f>
        <v/>
      </c>
      <c r="V277" s="23" t="str">
        <f t="shared" si="26"/>
        <v/>
      </c>
      <c r="W277" s="23">
        <f t="shared" si="27"/>
        <v>0</v>
      </c>
      <c r="X277" s="24"/>
      <c r="Y277" s="23"/>
    </row>
    <row r="278" spans="1:25" ht="11.25" customHeight="1" outlineLevel="1">
      <c r="A278" s="16"/>
      <c r="B278" s="20"/>
      <c r="C278" s="20"/>
      <c r="D278" s="20"/>
      <c r="E278" s="20"/>
      <c r="F278" s="21"/>
      <c r="G278" s="21"/>
      <c r="H278" s="21"/>
      <c r="I278" s="21"/>
      <c r="J278" s="20"/>
      <c r="K278" s="21"/>
      <c r="L278" s="21"/>
      <c r="M278" s="21"/>
      <c r="N278" s="21"/>
      <c r="O278" s="39"/>
      <c r="P278" s="21"/>
      <c r="Q278" s="21"/>
      <c r="R278" s="20"/>
      <c r="S278" s="22">
        <f t="shared" si="25"/>
        <v>0</v>
      </c>
      <c r="T278" s="22">
        <f>COUNTIF($V$4:V278,V278)</f>
        <v>7</v>
      </c>
      <c r="U278" s="22" t="str">
        <f>IF(T278=1,COUNTIF($T$4:T278,1),"")</f>
        <v/>
      </c>
      <c r="V278" s="23" t="str">
        <f t="shared" si="26"/>
        <v/>
      </c>
      <c r="W278" s="23">
        <f t="shared" si="27"/>
        <v>0</v>
      </c>
      <c r="X278" s="24"/>
      <c r="Y278" s="23"/>
    </row>
    <row r="279" spans="1:25" ht="11.25" customHeight="1" outlineLevel="1">
      <c r="A279" s="16"/>
      <c r="B279" s="20"/>
      <c r="C279" s="20"/>
      <c r="D279" s="20"/>
      <c r="E279" s="20"/>
      <c r="F279" s="21"/>
      <c r="G279" s="21"/>
      <c r="H279" s="21"/>
      <c r="I279" s="21"/>
      <c r="J279" s="20"/>
      <c r="K279" s="21"/>
      <c r="L279" s="21"/>
      <c r="M279" s="21"/>
      <c r="N279" s="21"/>
      <c r="O279" s="39"/>
      <c r="P279" s="21"/>
      <c r="Q279" s="21"/>
      <c r="R279" s="20"/>
      <c r="S279" s="22">
        <f t="shared" si="25"/>
        <v>0</v>
      </c>
      <c r="T279" s="22">
        <f>COUNTIF($V$4:V279,V279)</f>
        <v>8</v>
      </c>
      <c r="U279" s="22" t="str">
        <f>IF(T279=1,COUNTIF($T$4:T279,1),"")</f>
        <v/>
      </c>
      <c r="V279" s="23" t="str">
        <f t="shared" si="26"/>
        <v/>
      </c>
      <c r="W279" s="23">
        <f t="shared" si="27"/>
        <v>0</v>
      </c>
      <c r="X279" s="24"/>
      <c r="Y279" s="23"/>
    </row>
    <row r="280" spans="1:25" ht="11.25" customHeight="1" outlineLevel="1">
      <c r="A280" s="16"/>
      <c r="B280" s="20"/>
      <c r="C280" s="20"/>
      <c r="D280" s="20"/>
      <c r="E280" s="20"/>
      <c r="F280" s="21"/>
      <c r="G280" s="21"/>
      <c r="H280" s="21"/>
      <c r="I280" s="21"/>
      <c r="J280" s="20"/>
      <c r="K280" s="21"/>
      <c r="L280" s="21"/>
      <c r="M280" s="21"/>
      <c r="N280" s="21"/>
      <c r="O280" s="39"/>
      <c r="P280" s="21"/>
      <c r="Q280" s="21"/>
      <c r="R280" s="20"/>
      <c r="S280" s="22">
        <f t="shared" si="25"/>
        <v>0</v>
      </c>
      <c r="T280" s="22">
        <f>COUNTIF($V$4:V280,V280)</f>
        <v>9</v>
      </c>
      <c r="U280" s="22" t="str">
        <f>IF(T280=1,COUNTIF($T$4:T280,1),"")</f>
        <v/>
      </c>
      <c r="V280" s="23" t="str">
        <f t="shared" si="26"/>
        <v/>
      </c>
      <c r="W280" s="23">
        <f t="shared" si="27"/>
        <v>0</v>
      </c>
      <c r="X280" s="24"/>
      <c r="Y280" s="23"/>
    </row>
    <row r="281" spans="1:25" ht="11.25" customHeight="1" outlineLevel="1">
      <c r="A281" s="16"/>
      <c r="B281" s="20"/>
      <c r="C281" s="20"/>
      <c r="D281" s="20"/>
      <c r="E281" s="20"/>
      <c r="F281" s="21"/>
      <c r="G281" s="21"/>
      <c r="H281" s="21"/>
      <c r="I281" s="21"/>
      <c r="J281" s="20"/>
      <c r="K281" s="21"/>
      <c r="L281" s="21"/>
      <c r="M281" s="21"/>
      <c r="N281" s="21"/>
      <c r="O281" s="39"/>
      <c r="P281" s="21"/>
      <c r="Q281" s="21"/>
      <c r="R281" s="20"/>
      <c r="S281" s="22">
        <f t="shared" si="25"/>
        <v>0</v>
      </c>
      <c r="T281" s="22">
        <f>COUNTIF($V$4:V281,V281)</f>
        <v>10</v>
      </c>
      <c r="U281" s="22" t="str">
        <f>IF(T281=1,COUNTIF($T$4:T281,1),"")</f>
        <v/>
      </c>
      <c r="V281" s="23" t="str">
        <f t="shared" si="26"/>
        <v/>
      </c>
      <c r="W281" s="23">
        <f t="shared" si="27"/>
        <v>0</v>
      </c>
      <c r="X281" s="24"/>
      <c r="Y281" s="23"/>
    </row>
    <row r="282" spans="1:25" ht="11.25" customHeight="1" outlineLevel="1">
      <c r="A282" s="16"/>
      <c r="B282" s="20"/>
      <c r="C282" s="20"/>
      <c r="D282" s="20"/>
      <c r="E282" s="20"/>
      <c r="F282" s="21"/>
      <c r="G282" s="21"/>
      <c r="H282" s="21"/>
      <c r="I282" s="21"/>
      <c r="J282" s="20"/>
      <c r="K282" s="21"/>
      <c r="L282" s="21"/>
      <c r="M282" s="21"/>
      <c r="N282" s="21"/>
      <c r="O282" s="39"/>
      <c r="P282" s="21"/>
      <c r="Q282" s="21"/>
      <c r="R282" s="20"/>
      <c r="S282" s="22">
        <f t="shared" si="25"/>
        <v>0</v>
      </c>
      <c r="T282" s="22">
        <f>COUNTIF($V$4:V282,V282)</f>
        <v>11</v>
      </c>
      <c r="U282" s="22" t="str">
        <f>IF(T282=1,COUNTIF($T$4:T282,1),"")</f>
        <v/>
      </c>
      <c r="V282" s="23" t="str">
        <f t="shared" si="26"/>
        <v/>
      </c>
      <c r="W282" s="23">
        <f t="shared" si="27"/>
        <v>0</v>
      </c>
      <c r="X282" s="24"/>
      <c r="Y282" s="23"/>
    </row>
    <row r="283" spans="1:25" ht="11.25" customHeight="1" outlineLevel="1">
      <c r="A283" s="16"/>
      <c r="B283" s="20"/>
      <c r="C283" s="20"/>
      <c r="D283" s="20"/>
      <c r="E283" s="20"/>
      <c r="F283" s="21"/>
      <c r="G283" s="21"/>
      <c r="H283" s="21"/>
      <c r="I283" s="21"/>
      <c r="J283" s="20"/>
      <c r="K283" s="21"/>
      <c r="L283" s="21"/>
      <c r="M283" s="21"/>
      <c r="N283" s="21"/>
      <c r="O283" s="39"/>
      <c r="P283" s="21"/>
      <c r="Q283" s="21"/>
      <c r="R283" s="20"/>
      <c r="S283" s="22">
        <f t="shared" si="25"/>
        <v>0</v>
      </c>
      <c r="T283" s="22">
        <f>COUNTIF($V$4:V283,V283)</f>
        <v>12</v>
      </c>
      <c r="U283" s="22" t="str">
        <f>IF(T283=1,COUNTIF($T$4:T283,1),"")</f>
        <v/>
      </c>
      <c r="V283" s="23" t="str">
        <f t="shared" si="26"/>
        <v/>
      </c>
      <c r="W283" s="23">
        <f t="shared" si="27"/>
        <v>0</v>
      </c>
      <c r="X283" s="24"/>
      <c r="Y283" s="23"/>
    </row>
    <row r="284" spans="1:25" ht="11.25" customHeight="1" outlineLevel="1">
      <c r="A284" s="16"/>
      <c r="B284" s="20"/>
      <c r="C284" s="20"/>
      <c r="D284" s="20"/>
      <c r="E284" s="20"/>
      <c r="F284" s="21"/>
      <c r="G284" s="21"/>
      <c r="H284" s="21"/>
      <c r="I284" s="21"/>
      <c r="J284" s="20"/>
      <c r="K284" s="21"/>
      <c r="L284" s="21"/>
      <c r="M284" s="21"/>
      <c r="N284" s="21"/>
      <c r="O284" s="39"/>
      <c r="P284" s="21"/>
      <c r="Q284" s="21"/>
      <c r="R284" s="20"/>
      <c r="S284" s="22">
        <f t="shared" si="25"/>
        <v>0</v>
      </c>
      <c r="T284" s="22">
        <f>COUNTIF($V$4:V284,V284)</f>
        <v>13</v>
      </c>
      <c r="U284" s="22" t="str">
        <f>IF(T284=1,COUNTIF($T$4:T284,1),"")</f>
        <v/>
      </c>
      <c r="V284" s="23" t="str">
        <f t="shared" si="26"/>
        <v/>
      </c>
      <c r="W284" s="23">
        <f t="shared" si="27"/>
        <v>0</v>
      </c>
      <c r="X284" s="24"/>
      <c r="Y284" s="23"/>
    </row>
    <row r="285" spans="1:25" ht="11.25" customHeight="1" outlineLevel="1">
      <c r="A285" s="16"/>
      <c r="B285" s="20"/>
      <c r="C285" s="20"/>
      <c r="D285" s="20"/>
      <c r="E285" s="20"/>
      <c r="F285" s="21"/>
      <c r="G285" s="21"/>
      <c r="H285" s="21"/>
      <c r="I285" s="21"/>
      <c r="J285" s="20"/>
      <c r="K285" s="21"/>
      <c r="L285" s="21"/>
      <c r="M285" s="21"/>
      <c r="N285" s="21"/>
      <c r="O285" s="39"/>
      <c r="P285" s="21"/>
      <c r="Q285" s="21"/>
      <c r="R285" s="20"/>
      <c r="S285" s="22">
        <f t="shared" si="25"/>
        <v>0</v>
      </c>
      <c r="T285" s="22">
        <f>COUNTIF($V$4:V285,V285)</f>
        <v>14</v>
      </c>
      <c r="U285" s="22" t="str">
        <f>IF(T285=1,COUNTIF($T$4:T285,1),"")</f>
        <v/>
      </c>
      <c r="V285" s="23" t="str">
        <f t="shared" si="26"/>
        <v/>
      </c>
      <c r="W285" s="23">
        <f t="shared" si="27"/>
        <v>0</v>
      </c>
      <c r="X285" s="24"/>
      <c r="Y285" s="23"/>
    </row>
    <row r="286" spans="1:25" ht="11.25" customHeight="1" outlineLevel="1">
      <c r="A286" s="16"/>
      <c r="B286" s="20"/>
      <c r="C286" s="20"/>
      <c r="D286" s="20"/>
      <c r="E286" s="20"/>
      <c r="F286" s="21"/>
      <c r="G286" s="21"/>
      <c r="H286" s="21"/>
      <c r="I286" s="21"/>
      <c r="J286" s="20"/>
      <c r="K286" s="21"/>
      <c r="L286" s="21"/>
      <c r="M286" s="21"/>
      <c r="N286" s="21"/>
      <c r="O286" s="39"/>
      <c r="P286" s="21"/>
      <c r="Q286" s="21"/>
      <c r="R286" s="20"/>
      <c r="S286" s="22">
        <f t="shared" si="25"/>
        <v>0</v>
      </c>
      <c r="T286" s="22">
        <f>COUNTIF($V$4:V286,V286)</f>
        <v>15</v>
      </c>
      <c r="U286" s="22" t="str">
        <f>IF(T286=1,COUNTIF($T$4:T286,1),"")</f>
        <v/>
      </c>
      <c r="V286" s="23" t="str">
        <f t="shared" si="26"/>
        <v/>
      </c>
      <c r="W286" s="23">
        <f t="shared" si="27"/>
        <v>0</v>
      </c>
      <c r="X286" s="24"/>
      <c r="Y286" s="23"/>
    </row>
    <row r="287" spans="1:25" ht="11.25" customHeight="1" outlineLevel="1">
      <c r="A287" s="16"/>
      <c r="B287" s="20"/>
      <c r="C287" s="20"/>
      <c r="D287" s="20"/>
      <c r="E287" s="20"/>
      <c r="F287" s="21"/>
      <c r="G287" s="21"/>
      <c r="H287" s="21"/>
      <c r="I287" s="21"/>
      <c r="J287" s="20"/>
      <c r="K287" s="21"/>
      <c r="L287" s="21"/>
      <c r="M287" s="21"/>
      <c r="N287" s="21"/>
      <c r="O287" s="39"/>
      <c r="P287" s="21"/>
      <c r="Q287" s="21"/>
      <c r="R287" s="20"/>
      <c r="S287" s="22">
        <f t="shared" si="25"/>
        <v>0</v>
      </c>
      <c r="T287" s="22">
        <f>COUNTIF($V$4:V287,V287)</f>
        <v>16</v>
      </c>
      <c r="U287" s="22" t="str">
        <f>IF(T287=1,COUNTIF($T$4:T287,1),"")</f>
        <v/>
      </c>
      <c r="V287" s="23" t="str">
        <f t="shared" si="26"/>
        <v/>
      </c>
      <c r="W287" s="23">
        <f t="shared" si="27"/>
        <v>0</v>
      </c>
      <c r="X287" s="24"/>
      <c r="Y287" s="23"/>
    </row>
    <row r="288" spans="1:25" ht="11.25" customHeight="1" outlineLevel="1">
      <c r="A288" s="16"/>
      <c r="B288" s="20"/>
      <c r="C288" s="20"/>
      <c r="D288" s="20"/>
      <c r="E288" s="20"/>
      <c r="F288" s="21"/>
      <c r="G288" s="21"/>
      <c r="H288" s="21"/>
      <c r="I288" s="21"/>
      <c r="J288" s="20"/>
      <c r="K288" s="21"/>
      <c r="L288" s="21"/>
      <c r="M288" s="21"/>
      <c r="N288" s="21"/>
      <c r="O288" s="39"/>
      <c r="P288" s="21"/>
      <c r="Q288" s="21"/>
      <c r="R288" s="20"/>
      <c r="S288" s="22">
        <f t="shared" si="25"/>
        <v>0</v>
      </c>
      <c r="T288" s="22">
        <f>COUNTIF($V$4:V288,V288)</f>
        <v>17</v>
      </c>
      <c r="U288" s="22" t="str">
        <f>IF(T288=1,COUNTIF($T$4:T288,1),"")</f>
        <v/>
      </c>
      <c r="V288" s="23" t="str">
        <f t="shared" si="26"/>
        <v/>
      </c>
      <c r="W288" s="23">
        <f t="shared" si="27"/>
        <v>0</v>
      </c>
      <c r="X288" s="24"/>
      <c r="Y288" s="23"/>
    </row>
    <row r="289" spans="1:25" ht="11.25" customHeight="1" outlineLevel="1">
      <c r="A289" s="16"/>
      <c r="B289" s="20"/>
      <c r="C289" s="20"/>
      <c r="D289" s="20"/>
      <c r="E289" s="20"/>
      <c r="F289" s="21"/>
      <c r="G289" s="21"/>
      <c r="H289" s="21"/>
      <c r="I289" s="21"/>
      <c r="J289" s="20"/>
      <c r="K289" s="21"/>
      <c r="L289" s="21"/>
      <c r="M289" s="21"/>
      <c r="N289" s="21"/>
      <c r="O289" s="39"/>
      <c r="P289" s="21"/>
      <c r="Q289" s="21"/>
      <c r="R289" s="20"/>
      <c r="S289" s="22">
        <f t="shared" si="25"/>
        <v>0</v>
      </c>
      <c r="T289" s="22">
        <f>COUNTIF($V$4:V289,V289)</f>
        <v>18</v>
      </c>
      <c r="U289" s="22" t="str">
        <f>IF(T289=1,COUNTIF($T$4:T289,1),"")</f>
        <v/>
      </c>
      <c r="V289" s="23" t="str">
        <f t="shared" si="26"/>
        <v/>
      </c>
      <c r="W289" s="23">
        <f t="shared" si="27"/>
        <v>0</v>
      </c>
      <c r="X289" s="24"/>
      <c r="Y289" s="23"/>
    </row>
    <row r="290" spans="1:25" ht="11.25" customHeight="1" outlineLevel="1">
      <c r="A290" s="16"/>
      <c r="B290" s="20"/>
      <c r="C290" s="20"/>
      <c r="D290" s="20"/>
      <c r="E290" s="20"/>
      <c r="F290" s="21"/>
      <c r="G290" s="21"/>
      <c r="H290" s="21"/>
      <c r="I290" s="21"/>
      <c r="J290" s="20"/>
      <c r="K290" s="21"/>
      <c r="L290" s="21"/>
      <c r="M290" s="21"/>
      <c r="N290" s="21"/>
      <c r="O290" s="39"/>
      <c r="P290" s="21"/>
      <c r="Q290" s="21"/>
      <c r="R290" s="20"/>
      <c r="S290" s="22">
        <f t="shared" si="25"/>
        <v>0</v>
      </c>
      <c r="T290" s="22">
        <f>COUNTIF($V$4:V290,V290)</f>
        <v>19</v>
      </c>
      <c r="U290" s="22" t="str">
        <f>IF(T290=1,COUNTIF($T$4:T290,1),"")</f>
        <v/>
      </c>
      <c r="V290" s="23" t="str">
        <f t="shared" si="26"/>
        <v/>
      </c>
      <c r="W290" s="23">
        <f t="shared" si="27"/>
        <v>0</v>
      </c>
      <c r="X290" s="24"/>
      <c r="Y290" s="23"/>
    </row>
    <row r="291" spans="1:25" ht="11.25" customHeight="1" outlineLevel="1">
      <c r="A291" s="16"/>
      <c r="B291" s="20"/>
      <c r="C291" s="20"/>
      <c r="D291" s="20"/>
      <c r="E291" s="20"/>
      <c r="F291" s="21"/>
      <c r="G291" s="21"/>
      <c r="H291" s="21"/>
      <c r="I291" s="21"/>
      <c r="J291" s="20"/>
      <c r="K291" s="21"/>
      <c r="L291" s="21"/>
      <c r="M291" s="21"/>
      <c r="N291" s="21"/>
      <c r="O291" s="21"/>
      <c r="P291" s="21"/>
      <c r="Q291" s="21"/>
      <c r="R291" s="20"/>
      <c r="S291" s="22">
        <f t="shared" si="25"/>
        <v>0</v>
      </c>
      <c r="T291" s="22">
        <f>COUNTIF($V$4:V291,V291)</f>
        <v>20</v>
      </c>
      <c r="U291" s="22" t="str">
        <f>IF(T291=1,COUNTIF($T$4:T291,1),"")</f>
        <v/>
      </c>
      <c r="V291" s="23" t="str">
        <f t="shared" si="26"/>
        <v/>
      </c>
      <c r="W291" s="23">
        <f t="shared" si="27"/>
        <v>0</v>
      </c>
      <c r="X291" s="24"/>
      <c r="Y291" s="23"/>
    </row>
    <row r="292" spans="1:25" ht="11.25" customHeight="1" outlineLevel="1">
      <c r="A292" s="16"/>
      <c r="B292" s="20"/>
      <c r="C292" s="20"/>
      <c r="D292" s="20"/>
      <c r="E292" s="20"/>
      <c r="F292" s="21"/>
      <c r="G292" s="21"/>
      <c r="H292" s="21"/>
      <c r="I292" s="21"/>
      <c r="J292" s="20"/>
      <c r="K292" s="21"/>
      <c r="L292" s="21"/>
      <c r="M292" s="21"/>
      <c r="N292" s="21"/>
      <c r="O292" s="21"/>
      <c r="P292" s="21"/>
      <c r="Q292" s="21"/>
      <c r="R292" s="20"/>
      <c r="S292" s="22">
        <f t="shared" si="25"/>
        <v>0</v>
      </c>
      <c r="T292" s="22">
        <f>COUNTIF($V$4:V292,V292)</f>
        <v>21</v>
      </c>
      <c r="U292" s="22" t="str">
        <f>IF(T292=1,COUNTIF($T$4:T292,1),"")</f>
        <v/>
      </c>
      <c r="V292" s="23" t="str">
        <f t="shared" si="26"/>
        <v/>
      </c>
      <c r="W292" s="23">
        <f t="shared" si="27"/>
        <v>0</v>
      </c>
      <c r="X292" s="24"/>
      <c r="Y292" s="23"/>
    </row>
    <row r="293" spans="1:25" ht="11.25" customHeight="1" outlineLevel="1">
      <c r="A293" s="16"/>
      <c r="B293" s="20"/>
      <c r="C293" s="20"/>
      <c r="D293" s="20"/>
      <c r="E293" s="20"/>
      <c r="F293" s="21"/>
      <c r="G293" s="21"/>
      <c r="H293" s="21"/>
      <c r="I293" s="21"/>
      <c r="J293" s="20"/>
      <c r="K293" s="21"/>
      <c r="L293" s="21"/>
      <c r="M293" s="21"/>
      <c r="N293" s="21"/>
      <c r="O293" s="21"/>
      <c r="P293" s="21"/>
      <c r="Q293" s="21"/>
      <c r="R293" s="20"/>
      <c r="S293" s="22">
        <f t="shared" si="25"/>
        <v>0</v>
      </c>
      <c r="T293" s="22">
        <f>COUNTIF($V$4:V293,V293)</f>
        <v>22</v>
      </c>
      <c r="U293" s="22" t="str">
        <f>IF(T293=1,COUNTIF($T$4:T293,1),"")</f>
        <v/>
      </c>
      <c r="V293" s="23" t="str">
        <f t="shared" si="26"/>
        <v/>
      </c>
      <c r="W293" s="23">
        <f t="shared" si="27"/>
        <v>0</v>
      </c>
      <c r="X293" s="24"/>
      <c r="Y293" s="23"/>
    </row>
    <row r="294" spans="1:25" ht="11.25" customHeight="1" outlineLevel="1">
      <c r="A294" s="16"/>
      <c r="B294" s="20"/>
      <c r="C294" s="20"/>
      <c r="D294" s="20"/>
      <c r="E294" s="20"/>
      <c r="F294" s="21"/>
      <c r="G294" s="21"/>
      <c r="H294" s="21"/>
      <c r="I294" s="21"/>
      <c r="J294" s="20"/>
      <c r="K294" s="21"/>
      <c r="L294" s="21"/>
      <c r="M294" s="21"/>
      <c r="N294" s="21"/>
      <c r="O294" s="21"/>
      <c r="P294" s="21"/>
      <c r="Q294" s="21"/>
      <c r="R294" s="20"/>
      <c r="S294" s="22">
        <f t="shared" si="25"/>
        <v>0</v>
      </c>
      <c r="T294" s="22">
        <f>COUNTIF($V$4:V294,V294)</f>
        <v>23</v>
      </c>
      <c r="U294" s="22" t="str">
        <f>IF(T294=1,COUNTIF($T$4:T294,1),"")</f>
        <v/>
      </c>
      <c r="V294" s="23" t="str">
        <f t="shared" si="26"/>
        <v/>
      </c>
      <c r="W294" s="23">
        <f t="shared" si="27"/>
        <v>0</v>
      </c>
      <c r="X294" s="24"/>
      <c r="Y294" s="23"/>
    </row>
    <row r="295" spans="1:25" ht="11.25" customHeight="1" outlineLevel="1">
      <c r="A295" s="16"/>
      <c r="B295" s="20"/>
      <c r="C295" s="20"/>
      <c r="D295" s="20"/>
      <c r="E295" s="20"/>
      <c r="F295" s="21"/>
      <c r="G295" s="21"/>
      <c r="H295" s="21"/>
      <c r="I295" s="21"/>
      <c r="J295" s="21"/>
      <c r="K295" s="21"/>
      <c r="L295" s="21"/>
      <c r="M295" s="21"/>
      <c r="N295" s="21"/>
      <c r="O295" s="21"/>
      <c r="P295" s="21"/>
      <c r="Q295" s="21"/>
      <c r="R295" s="20"/>
      <c r="S295" s="22">
        <f t="shared" si="25"/>
        <v>0</v>
      </c>
      <c r="T295" s="22">
        <f>COUNTIF($V$4:V295,V295)</f>
        <v>24</v>
      </c>
      <c r="U295" s="22" t="str">
        <f>IF(T295=1,COUNTIF($T$4:T295,1),"")</f>
        <v/>
      </c>
      <c r="V295" s="23" t="str">
        <f t="shared" si="26"/>
        <v/>
      </c>
      <c r="W295" s="23">
        <f t="shared" si="27"/>
        <v>0</v>
      </c>
      <c r="X295" s="24"/>
      <c r="Y295" s="23"/>
    </row>
    <row r="296" spans="1:25" ht="11.25" customHeight="1" outlineLevel="1">
      <c r="A296" s="16"/>
      <c r="B296" s="20"/>
      <c r="C296" s="20"/>
      <c r="D296" s="20"/>
      <c r="E296" s="20"/>
      <c r="F296" s="21"/>
      <c r="G296" s="21"/>
      <c r="H296" s="21"/>
      <c r="I296" s="21"/>
      <c r="J296" s="21"/>
      <c r="K296" s="21"/>
      <c r="L296" s="21"/>
      <c r="M296" s="21"/>
      <c r="N296" s="21"/>
      <c r="O296" s="21"/>
      <c r="P296" s="21"/>
      <c r="Q296" s="21"/>
      <c r="R296" s="20"/>
      <c r="S296" s="22">
        <f t="shared" si="25"/>
        <v>0</v>
      </c>
      <c r="T296" s="22">
        <f>COUNTIF($V$4:V296,V296)</f>
        <v>25</v>
      </c>
      <c r="U296" s="22" t="str">
        <f>IF(T296=1,COUNTIF($T$4:T296,1),"")</f>
        <v/>
      </c>
      <c r="V296" s="23" t="str">
        <f t="shared" si="26"/>
        <v/>
      </c>
      <c r="W296" s="23">
        <f t="shared" si="27"/>
        <v>0</v>
      </c>
      <c r="X296" s="24"/>
      <c r="Y296" s="23"/>
    </row>
    <row r="297" spans="1:25" ht="11.25" customHeight="1" outlineLevel="1">
      <c r="A297" s="16"/>
      <c r="B297" s="20"/>
      <c r="C297" s="20"/>
      <c r="D297" s="20"/>
      <c r="E297" s="20"/>
      <c r="F297" s="21"/>
      <c r="G297" s="21"/>
      <c r="H297" s="21"/>
      <c r="I297" s="21"/>
      <c r="J297" s="21"/>
      <c r="K297" s="21"/>
      <c r="L297" s="21"/>
      <c r="M297" s="21"/>
      <c r="N297" s="21"/>
      <c r="O297" s="21"/>
      <c r="P297" s="21"/>
      <c r="Q297" s="21"/>
      <c r="R297" s="20"/>
      <c r="S297" s="22">
        <f t="shared" si="25"/>
        <v>0</v>
      </c>
      <c r="T297" s="22">
        <f>COUNTIF($V$4:V297,V297)</f>
        <v>26</v>
      </c>
      <c r="U297" s="22" t="str">
        <f>IF(T297=1,COUNTIF($T$4:T297,1),"")</f>
        <v/>
      </c>
      <c r="V297" s="23" t="str">
        <f t="shared" si="26"/>
        <v/>
      </c>
      <c r="W297" s="23">
        <f t="shared" si="27"/>
        <v>0</v>
      </c>
      <c r="X297" s="24"/>
      <c r="Y297" s="23"/>
    </row>
    <row r="298" spans="1:25" ht="11.25" customHeight="1" outlineLevel="1">
      <c r="A298" s="16"/>
      <c r="B298" s="20"/>
      <c r="C298" s="20"/>
      <c r="D298" s="20"/>
      <c r="E298" s="20"/>
      <c r="F298" s="21"/>
      <c r="G298" s="21"/>
      <c r="H298" s="21"/>
      <c r="I298" s="21"/>
      <c r="J298" s="21"/>
      <c r="K298" s="21"/>
      <c r="L298" s="21"/>
      <c r="M298" s="21"/>
      <c r="N298" s="21"/>
      <c r="O298" s="21"/>
      <c r="P298" s="21"/>
      <c r="Q298" s="21"/>
      <c r="R298" s="20"/>
      <c r="S298" s="22">
        <f t="shared" si="25"/>
        <v>0</v>
      </c>
      <c r="T298" s="22">
        <f>COUNTIF($V$4:V298,V298)</f>
        <v>27</v>
      </c>
      <c r="U298" s="22" t="str">
        <f>IF(T298=1,COUNTIF($T$4:T298,1),"")</f>
        <v/>
      </c>
      <c r="V298" s="23" t="str">
        <f t="shared" si="26"/>
        <v/>
      </c>
      <c r="W298" s="23">
        <f t="shared" si="27"/>
        <v>0</v>
      </c>
      <c r="X298" s="24"/>
      <c r="Y298" s="23"/>
    </row>
    <row r="299" spans="1:25" ht="11.25" customHeight="1" outlineLevel="1">
      <c r="A299" s="16"/>
      <c r="B299" s="20"/>
      <c r="C299" s="20"/>
      <c r="D299" s="20"/>
      <c r="E299" s="20"/>
      <c r="F299" s="21"/>
      <c r="G299" s="21"/>
      <c r="H299" s="21"/>
      <c r="I299" s="21"/>
      <c r="J299" s="20"/>
      <c r="K299" s="21"/>
      <c r="L299" s="21"/>
      <c r="M299" s="21"/>
      <c r="N299" s="21"/>
      <c r="O299" s="21"/>
      <c r="P299" s="21"/>
      <c r="Q299" s="21"/>
      <c r="R299" s="20"/>
      <c r="S299" s="22">
        <f t="shared" si="25"/>
        <v>0</v>
      </c>
      <c r="T299" s="22">
        <f>COUNTIF($V$4:V299,V299)</f>
        <v>28</v>
      </c>
      <c r="U299" s="22" t="str">
        <f>IF(T299=1,COUNTIF($T$4:T299,1),"")</f>
        <v/>
      </c>
      <c r="V299" s="23" t="str">
        <f t="shared" si="26"/>
        <v/>
      </c>
      <c r="W299" s="23">
        <f t="shared" si="27"/>
        <v>0</v>
      </c>
      <c r="X299" s="24"/>
      <c r="Y299" s="23"/>
    </row>
    <row r="300" spans="1:25" ht="11.25" customHeight="1" outlineLevel="1">
      <c r="A300" s="16"/>
      <c r="B300" s="20"/>
      <c r="C300" s="20"/>
      <c r="D300" s="20"/>
      <c r="E300" s="20"/>
      <c r="F300" s="21"/>
      <c r="G300" s="21"/>
      <c r="H300" s="21"/>
      <c r="I300" s="21"/>
      <c r="J300" s="20"/>
      <c r="K300" s="21"/>
      <c r="L300" s="21"/>
      <c r="M300" s="21"/>
      <c r="N300" s="21"/>
      <c r="O300" s="21"/>
      <c r="P300" s="21"/>
      <c r="Q300" s="21"/>
      <c r="R300" s="20"/>
      <c r="S300" s="22">
        <f t="shared" si="25"/>
        <v>0</v>
      </c>
      <c r="T300" s="22">
        <f>COUNTIF($V$4:V300,V300)</f>
        <v>29</v>
      </c>
      <c r="U300" s="22" t="str">
        <f>IF(T300=1,COUNTIF($T$4:T300,1),"")</f>
        <v/>
      </c>
      <c r="V300" s="23" t="str">
        <f t="shared" si="26"/>
        <v/>
      </c>
      <c r="W300" s="23">
        <f t="shared" si="27"/>
        <v>0</v>
      </c>
      <c r="X300" s="24"/>
      <c r="Y300" s="23"/>
    </row>
    <row r="301" spans="1:25" outlineLevel="1">
      <c r="A301" s="16"/>
      <c r="B301" s="20"/>
      <c r="C301" s="20"/>
      <c r="D301" s="20"/>
      <c r="E301" s="20"/>
      <c r="F301" s="21"/>
      <c r="G301" s="21"/>
      <c r="H301" s="21"/>
      <c r="I301" s="21"/>
      <c r="J301" s="20"/>
      <c r="K301" s="21"/>
      <c r="L301" s="21"/>
      <c r="M301" s="21"/>
      <c r="N301" s="21"/>
      <c r="O301" s="21"/>
      <c r="P301" s="21"/>
      <c r="Q301" s="21"/>
      <c r="R301" s="20"/>
      <c r="S301" s="22">
        <f t="shared" si="25"/>
        <v>0</v>
      </c>
      <c r="T301" s="22">
        <f>COUNTIF($V$4:V301,V301)</f>
        <v>30</v>
      </c>
      <c r="U301" s="22" t="str">
        <f>IF(T301=1,COUNTIF($T$4:T301,1),"")</f>
        <v/>
      </c>
      <c r="V301" s="23" t="str">
        <f t="shared" si="26"/>
        <v/>
      </c>
      <c r="W301" s="23">
        <f t="shared" si="27"/>
        <v>0</v>
      </c>
      <c r="X301" s="24"/>
      <c r="Y301" s="23"/>
    </row>
    <row r="302" spans="1:25" outlineLevel="1">
      <c r="A302" s="16"/>
      <c r="B302" s="20"/>
      <c r="C302" s="20"/>
      <c r="D302" s="20"/>
      <c r="E302" s="20"/>
      <c r="F302" s="21"/>
      <c r="G302" s="21"/>
      <c r="H302" s="21"/>
      <c r="I302" s="21"/>
      <c r="J302" s="20"/>
      <c r="K302" s="21"/>
      <c r="L302" s="21"/>
      <c r="M302" s="21"/>
      <c r="N302" s="21"/>
      <c r="O302" s="21"/>
      <c r="P302" s="21"/>
      <c r="Q302" s="21"/>
      <c r="R302" s="20"/>
      <c r="S302" s="22">
        <f t="shared" si="25"/>
        <v>0</v>
      </c>
      <c r="T302" s="22">
        <f>COUNTIF($V$4:V302,V302)</f>
        <v>31</v>
      </c>
      <c r="U302" s="22" t="str">
        <f>IF(T302=1,COUNTIF($T$4:T302,1),"")</f>
        <v/>
      </c>
      <c r="V302" s="23" t="str">
        <f t="shared" si="26"/>
        <v/>
      </c>
      <c r="W302" s="23">
        <f t="shared" si="27"/>
        <v>0</v>
      </c>
      <c r="X302" s="24"/>
      <c r="Y302" s="23"/>
    </row>
    <row r="303" spans="1:25" ht="11.25" customHeight="1" outlineLevel="1">
      <c r="A303" s="16"/>
      <c r="B303" s="20"/>
      <c r="C303" s="20"/>
      <c r="D303" s="20"/>
      <c r="E303" s="20"/>
      <c r="F303" s="21"/>
      <c r="G303" s="21"/>
      <c r="H303" s="21"/>
      <c r="I303" s="21"/>
      <c r="J303" s="20"/>
      <c r="K303" s="21"/>
      <c r="L303" s="21"/>
      <c r="M303" s="21"/>
      <c r="N303" s="21"/>
      <c r="O303" s="21"/>
      <c r="P303" s="21"/>
      <c r="Q303" s="21"/>
      <c r="R303" s="20"/>
      <c r="S303" s="22">
        <f t="shared" si="25"/>
        <v>0</v>
      </c>
      <c r="T303" s="22">
        <f>COUNTIF($V$4:V303,V303)</f>
        <v>32</v>
      </c>
      <c r="U303" s="22" t="str">
        <f>IF(T303=1,COUNTIF($T$4:T303,1),"")</f>
        <v/>
      </c>
      <c r="V303" s="23" t="str">
        <f t="shared" si="26"/>
        <v/>
      </c>
      <c r="W303" s="23">
        <f t="shared" si="27"/>
        <v>0</v>
      </c>
      <c r="X303" s="24"/>
      <c r="Y303" s="23"/>
    </row>
    <row r="304" spans="1:25" ht="11.25" customHeight="1" outlineLevel="1">
      <c r="A304" s="16"/>
      <c r="B304" s="20"/>
      <c r="C304" s="20"/>
      <c r="D304" s="20"/>
      <c r="E304" s="20"/>
      <c r="F304" s="21"/>
      <c r="G304" s="21"/>
      <c r="H304" s="21"/>
      <c r="I304" s="21"/>
      <c r="J304" s="20"/>
      <c r="K304" s="21"/>
      <c r="L304" s="21"/>
      <c r="M304" s="21"/>
      <c r="N304" s="21"/>
      <c r="O304" s="21"/>
      <c r="P304" s="21"/>
      <c r="Q304" s="21"/>
      <c r="R304" s="20"/>
      <c r="S304" s="22">
        <f t="shared" si="25"/>
        <v>0</v>
      </c>
      <c r="T304" s="22">
        <f>COUNTIF($V$4:V304,V304)</f>
        <v>33</v>
      </c>
      <c r="U304" s="22" t="str">
        <f>IF(T304=1,COUNTIF($T$4:T304,1),"")</f>
        <v/>
      </c>
      <c r="V304" s="23" t="str">
        <f t="shared" si="26"/>
        <v/>
      </c>
      <c r="W304" s="23">
        <f t="shared" si="27"/>
        <v>0</v>
      </c>
      <c r="X304" s="24"/>
      <c r="Y304" s="23"/>
    </row>
    <row r="305" spans="1:25" ht="11.25" customHeight="1" outlineLevel="1">
      <c r="A305" s="16"/>
      <c r="B305" s="20"/>
      <c r="C305" s="20"/>
      <c r="D305" s="20"/>
      <c r="E305" s="20"/>
      <c r="F305" s="21"/>
      <c r="G305" s="21"/>
      <c r="H305" s="21"/>
      <c r="I305" s="21"/>
      <c r="J305" s="20"/>
      <c r="K305" s="21"/>
      <c r="L305" s="21"/>
      <c r="M305" s="21"/>
      <c r="N305" s="21"/>
      <c r="O305" s="21"/>
      <c r="P305" s="21"/>
      <c r="Q305" s="21"/>
      <c r="R305" s="20"/>
      <c r="S305" s="22">
        <f t="shared" si="25"/>
        <v>0</v>
      </c>
      <c r="T305" s="22">
        <f>COUNTIF($V$4:V305,V305)</f>
        <v>34</v>
      </c>
      <c r="U305" s="22" t="str">
        <f>IF(T305=1,COUNTIF($T$4:T305,1),"")</f>
        <v/>
      </c>
      <c r="V305" s="23" t="str">
        <f t="shared" si="26"/>
        <v/>
      </c>
      <c r="W305" s="23">
        <f t="shared" si="27"/>
        <v>0</v>
      </c>
      <c r="X305" s="24"/>
      <c r="Y305" s="23"/>
    </row>
    <row r="306" spans="1:25" ht="11.25" customHeight="1" outlineLevel="1">
      <c r="A306" s="16"/>
      <c r="B306" s="20"/>
      <c r="C306" s="20"/>
      <c r="D306" s="20"/>
      <c r="E306" s="20"/>
      <c r="F306" s="21"/>
      <c r="G306" s="21"/>
      <c r="H306" s="21"/>
      <c r="I306" s="21"/>
      <c r="J306" s="20"/>
      <c r="K306" s="21"/>
      <c r="L306" s="21"/>
      <c r="M306" s="21"/>
      <c r="N306" s="21"/>
      <c r="O306" s="21"/>
      <c r="P306" s="21"/>
      <c r="Q306" s="21"/>
      <c r="R306" s="20"/>
      <c r="S306" s="22">
        <f t="shared" si="25"/>
        <v>0</v>
      </c>
      <c r="T306" s="22">
        <f>COUNTIF($V$4:V306,V306)</f>
        <v>35</v>
      </c>
      <c r="U306" s="22" t="str">
        <f>IF(T306=1,COUNTIF($T$4:T306,1),"")</f>
        <v/>
      </c>
      <c r="V306" s="23" t="str">
        <f t="shared" si="26"/>
        <v/>
      </c>
      <c r="W306" s="23">
        <f t="shared" si="27"/>
        <v>0</v>
      </c>
      <c r="X306" s="24"/>
      <c r="Y306" s="23"/>
    </row>
    <row r="307" spans="1:25" ht="11.25" customHeight="1" outlineLevel="1">
      <c r="A307" s="16"/>
      <c r="B307" s="20"/>
      <c r="C307" s="20"/>
      <c r="D307" s="20"/>
      <c r="E307" s="20"/>
      <c r="F307" s="21"/>
      <c r="G307" s="21"/>
      <c r="H307" s="21"/>
      <c r="I307" s="21"/>
      <c r="J307" s="20"/>
      <c r="K307" s="21"/>
      <c r="L307" s="21"/>
      <c r="M307" s="21"/>
      <c r="N307" s="21"/>
      <c r="O307" s="21"/>
      <c r="P307" s="21"/>
      <c r="Q307" s="21"/>
      <c r="R307" s="20"/>
      <c r="S307" s="22">
        <f t="shared" si="25"/>
        <v>0</v>
      </c>
      <c r="T307" s="22">
        <f>COUNTIF($V$4:V307,V307)</f>
        <v>36</v>
      </c>
      <c r="U307" s="22" t="str">
        <f>IF(T307=1,COUNTIF($T$4:T307,1),"")</f>
        <v/>
      </c>
      <c r="V307" s="23" t="str">
        <f t="shared" si="26"/>
        <v/>
      </c>
      <c r="W307" s="23">
        <f t="shared" si="27"/>
        <v>0</v>
      </c>
      <c r="X307" s="24"/>
      <c r="Y307" s="23"/>
    </row>
    <row r="308" spans="1:25" outlineLevel="1">
      <c r="A308" s="16"/>
      <c r="B308" s="20"/>
      <c r="C308" s="20"/>
      <c r="D308" s="20"/>
      <c r="E308" s="20"/>
      <c r="F308" s="21"/>
      <c r="G308" s="21"/>
      <c r="H308" s="21"/>
      <c r="I308" s="21"/>
      <c r="J308" s="20"/>
      <c r="K308" s="21"/>
      <c r="L308" s="21"/>
      <c r="M308" s="21"/>
      <c r="N308" s="21"/>
      <c r="O308" s="21"/>
      <c r="P308" s="21"/>
      <c r="Q308" s="21"/>
      <c r="R308" s="20"/>
      <c r="S308" s="22">
        <f t="shared" si="25"/>
        <v>0</v>
      </c>
      <c r="T308" s="22">
        <f>COUNTIF($V$4:V308,V308)</f>
        <v>37</v>
      </c>
      <c r="U308" s="22" t="str">
        <f>IF(T308=1,COUNTIF($T$4:T308,1),"")</f>
        <v/>
      </c>
      <c r="V308" s="23" t="str">
        <f t="shared" si="26"/>
        <v/>
      </c>
      <c r="W308" s="23">
        <f t="shared" si="27"/>
        <v>0</v>
      </c>
      <c r="X308" s="24"/>
      <c r="Y308" s="23"/>
    </row>
    <row r="309" spans="1:25" outlineLevel="1">
      <c r="A309" s="16"/>
      <c r="B309" s="20"/>
      <c r="C309" s="20"/>
      <c r="D309" s="20"/>
      <c r="E309" s="20"/>
      <c r="F309" s="21"/>
      <c r="G309" s="21"/>
      <c r="H309" s="21"/>
      <c r="I309" s="21"/>
      <c r="J309" s="20"/>
      <c r="K309" s="21"/>
      <c r="L309" s="21"/>
      <c r="M309" s="21"/>
      <c r="N309" s="21"/>
      <c r="O309" s="21"/>
      <c r="P309" s="21"/>
      <c r="Q309" s="21"/>
      <c r="R309" s="20"/>
      <c r="S309" s="22">
        <f t="shared" si="25"/>
        <v>0</v>
      </c>
      <c r="T309" s="22">
        <f>COUNTIF($V$4:V309,V309)</f>
        <v>38</v>
      </c>
      <c r="U309" s="22" t="str">
        <f>IF(T309=1,COUNTIF($T$4:T309,1),"")</f>
        <v/>
      </c>
      <c r="V309" s="23" t="str">
        <f t="shared" si="26"/>
        <v/>
      </c>
      <c r="W309" s="23">
        <f t="shared" si="27"/>
        <v>0</v>
      </c>
      <c r="X309" s="24"/>
      <c r="Y309" s="23"/>
    </row>
    <row r="310" spans="1:25" ht="11.25" customHeight="1" outlineLevel="1">
      <c r="A310" s="16"/>
      <c r="B310" s="20"/>
      <c r="C310" s="20"/>
      <c r="D310" s="20"/>
      <c r="E310" s="20"/>
      <c r="F310" s="21"/>
      <c r="G310" s="21"/>
      <c r="H310" s="21"/>
      <c r="I310" s="21"/>
      <c r="J310" s="20"/>
      <c r="K310" s="21"/>
      <c r="L310" s="21"/>
      <c r="M310" s="21"/>
      <c r="N310" s="21"/>
      <c r="O310" s="21"/>
      <c r="P310" s="21"/>
      <c r="Q310" s="21"/>
      <c r="R310" s="20"/>
      <c r="S310" s="22">
        <f t="shared" si="25"/>
        <v>0</v>
      </c>
      <c r="T310" s="22">
        <f>COUNTIF($V$4:V310,V310)</f>
        <v>39</v>
      </c>
      <c r="U310" s="22" t="str">
        <f>IF(T310=1,COUNTIF($T$4:T310,1),"")</f>
        <v/>
      </c>
      <c r="V310" s="23" t="str">
        <f t="shared" si="26"/>
        <v/>
      </c>
      <c r="W310" s="23">
        <f t="shared" si="27"/>
        <v>0</v>
      </c>
      <c r="X310" s="24"/>
      <c r="Y310" s="23"/>
    </row>
    <row r="311" spans="1:25" ht="11.25" customHeight="1" outlineLevel="1">
      <c r="A311" s="16"/>
      <c r="B311" s="20"/>
      <c r="C311" s="20"/>
      <c r="D311" s="20"/>
      <c r="E311" s="20"/>
      <c r="F311" s="21"/>
      <c r="G311" s="21"/>
      <c r="H311" s="21"/>
      <c r="I311" s="21"/>
      <c r="J311" s="20"/>
      <c r="K311" s="21"/>
      <c r="L311" s="21"/>
      <c r="M311" s="21"/>
      <c r="N311" s="21"/>
      <c r="O311" s="21"/>
      <c r="P311" s="21"/>
      <c r="Q311" s="21"/>
      <c r="R311" s="20"/>
      <c r="S311" s="22">
        <f t="shared" si="25"/>
        <v>0</v>
      </c>
      <c r="T311" s="22">
        <f>COUNTIF($V$4:V311,V311)</f>
        <v>40</v>
      </c>
      <c r="U311" s="22" t="str">
        <f>IF(T311=1,COUNTIF($T$4:T311,1),"")</f>
        <v/>
      </c>
      <c r="V311" s="23" t="str">
        <f t="shared" si="26"/>
        <v/>
      </c>
      <c r="W311" s="23">
        <f t="shared" si="27"/>
        <v>0</v>
      </c>
      <c r="X311" s="24"/>
      <c r="Y311" s="23"/>
    </row>
    <row r="312" spans="1:25" ht="11.25" customHeight="1" outlineLevel="1">
      <c r="A312" s="16"/>
      <c r="B312" s="20"/>
      <c r="C312" s="20"/>
      <c r="D312" s="20"/>
      <c r="E312" s="20"/>
      <c r="F312" s="21"/>
      <c r="G312" s="21"/>
      <c r="H312" s="21"/>
      <c r="I312" s="21"/>
      <c r="J312" s="20"/>
      <c r="K312" s="21"/>
      <c r="L312" s="21"/>
      <c r="M312" s="21"/>
      <c r="N312" s="21"/>
      <c r="O312" s="21"/>
      <c r="P312" s="21"/>
      <c r="Q312" s="21"/>
      <c r="R312" s="20"/>
      <c r="S312" s="22">
        <f t="shared" si="25"/>
        <v>0</v>
      </c>
      <c r="T312" s="22">
        <f>COUNTIF($V$4:V312,V312)</f>
        <v>41</v>
      </c>
      <c r="U312" s="22" t="str">
        <f>IF(T312=1,COUNTIF($T$4:T312,1),"")</f>
        <v/>
      </c>
      <c r="V312" s="23" t="str">
        <f t="shared" si="26"/>
        <v/>
      </c>
      <c r="W312" s="23">
        <f t="shared" si="27"/>
        <v>0</v>
      </c>
      <c r="X312" s="24"/>
      <c r="Y312" s="23"/>
    </row>
    <row r="313" spans="1:25" ht="11.25" customHeight="1" outlineLevel="1">
      <c r="A313" s="16"/>
      <c r="B313" s="20"/>
      <c r="C313" s="20"/>
      <c r="D313" s="20"/>
      <c r="E313" s="20"/>
      <c r="F313" s="21"/>
      <c r="G313" s="21"/>
      <c r="H313" s="21"/>
      <c r="I313" s="21"/>
      <c r="J313" s="20"/>
      <c r="K313" s="21"/>
      <c r="L313" s="21"/>
      <c r="M313" s="21"/>
      <c r="N313" s="21"/>
      <c r="O313" s="21"/>
      <c r="P313" s="21"/>
      <c r="Q313" s="21"/>
      <c r="R313" s="20"/>
      <c r="S313" s="22">
        <f t="shared" si="25"/>
        <v>0</v>
      </c>
      <c r="T313" s="22">
        <f>COUNTIF($V$4:V313,V313)</f>
        <v>42</v>
      </c>
      <c r="U313" s="22" t="str">
        <f>IF(T313=1,COUNTIF($T$4:T313,1),"")</f>
        <v/>
      </c>
      <c r="V313" s="23" t="str">
        <f t="shared" si="26"/>
        <v/>
      </c>
      <c r="W313" s="23">
        <f t="shared" si="27"/>
        <v>0</v>
      </c>
      <c r="X313" s="24"/>
      <c r="Y313" s="23"/>
    </row>
    <row r="314" spans="1:25" ht="11.25" customHeight="1" outlineLevel="1">
      <c r="A314" s="16"/>
      <c r="B314" s="20"/>
      <c r="C314" s="20"/>
      <c r="D314" s="20"/>
      <c r="E314" s="20"/>
      <c r="F314" s="21"/>
      <c r="G314" s="21"/>
      <c r="H314" s="21"/>
      <c r="I314" s="21"/>
      <c r="J314" s="20"/>
      <c r="K314" s="21"/>
      <c r="L314" s="21"/>
      <c r="M314" s="21"/>
      <c r="N314" s="21"/>
      <c r="O314" s="21"/>
      <c r="P314" s="21"/>
      <c r="Q314" s="21"/>
      <c r="R314" s="20"/>
      <c r="S314" s="22">
        <f t="shared" si="25"/>
        <v>0</v>
      </c>
      <c r="T314" s="22">
        <f>COUNTIF($V$4:V314,V314)</f>
        <v>43</v>
      </c>
      <c r="U314" s="22" t="str">
        <f>IF(T314=1,COUNTIF($T$4:T314,1),"")</f>
        <v/>
      </c>
      <c r="V314" s="23" t="str">
        <f t="shared" si="26"/>
        <v/>
      </c>
      <c r="W314" s="23">
        <f t="shared" si="27"/>
        <v>0</v>
      </c>
      <c r="X314" s="24"/>
      <c r="Y314" s="23"/>
    </row>
    <row r="315" spans="1:25" ht="11.25" customHeight="1" outlineLevel="1">
      <c r="A315" s="16"/>
      <c r="B315" s="20"/>
      <c r="C315" s="20"/>
      <c r="D315" s="20"/>
      <c r="E315" s="20"/>
      <c r="F315" s="21"/>
      <c r="G315" s="21"/>
      <c r="H315" s="21"/>
      <c r="I315" s="21"/>
      <c r="J315" s="20"/>
      <c r="K315" s="21"/>
      <c r="L315" s="21"/>
      <c r="M315" s="21"/>
      <c r="N315" s="21"/>
      <c r="O315" s="21"/>
      <c r="P315" s="21"/>
      <c r="Q315" s="21"/>
      <c r="R315" s="20"/>
      <c r="S315" s="22">
        <f t="shared" si="25"/>
        <v>0</v>
      </c>
      <c r="T315" s="22">
        <f>COUNTIF($V$4:V315,V315)</f>
        <v>44</v>
      </c>
      <c r="U315" s="22" t="str">
        <f>IF(T315=1,COUNTIF($T$4:T315,1),"")</f>
        <v/>
      </c>
      <c r="V315" s="23" t="str">
        <f t="shared" si="26"/>
        <v/>
      </c>
      <c r="W315" s="23">
        <f t="shared" si="27"/>
        <v>0</v>
      </c>
      <c r="X315" s="24"/>
      <c r="Y315" s="23"/>
    </row>
    <row r="316" spans="1:25" ht="11.25" customHeight="1" outlineLevel="1">
      <c r="A316" s="16"/>
      <c r="B316" s="20"/>
      <c r="C316" s="20"/>
      <c r="D316" s="20"/>
      <c r="E316" s="20"/>
      <c r="F316" s="21"/>
      <c r="G316" s="21"/>
      <c r="H316" s="21"/>
      <c r="I316" s="21"/>
      <c r="J316" s="20"/>
      <c r="K316" s="21"/>
      <c r="L316" s="21"/>
      <c r="M316" s="21"/>
      <c r="N316" s="21"/>
      <c r="O316" s="21"/>
      <c r="P316" s="21"/>
      <c r="Q316" s="21"/>
      <c r="R316" s="20"/>
      <c r="S316" s="22">
        <f t="shared" si="25"/>
        <v>0</v>
      </c>
      <c r="T316" s="22">
        <f>COUNTIF($V$4:V316,V316)</f>
        <v>45</v>
      </c>
      <c r="U316" s="22" t="str">
        <f>IF(T316=1,COUNTIF($T$4:T316,1),"")</f>
        <v/>
      </c>
      <c r="V316" s="23" t="str">
        <f t="shared" si="26"/>
        <v/>
      </c>
      <c r="W316" s="23">
        <f t="shared" si="27"/>
        <v>0</v>
      </c>
      <c r="X316" s="24"/>
      <c r="Y316" s="23"/>
    </row>
    <row r="317" spans="1:25" ht="11.25" customHeight="1" outlineLevel="1">
      <c r="A317" s="16"/>
      <c r="B317" s="20"/>
      <c r="C317" s="20"/>
      <c r="D317" s="20"/>
      <c r="E317" s="20"/>
      <c r="F317" s="21"/>
      <c r="G317" s="21"/>
      <c r="H317" s="21"/>
      <c r="I317" s="21"/>
      <c r="J317" s="20"/>
      <c r="K317" s="21"/>
      <c r="L317" s="21"/>
      <c r="M317" s="21"/>
      <c r="N317" s="21"/>
      <c r="O317" s="21"/>
      <c r="P317" s="21"/>
      <c r="Q317" s="21"/>
      <c r="R317" s="20"/>
      <c r="S317" s="22">
        <f t="shared" si="25"/>
        <v>0</v>
      </c>
      <c r="T317" s="22">
        <f>COUNTIF($V$4:V317,V317)</f>
        <v>46</v>
      </c>
      <c r="U317" s="22" t="str">
        <f>IF(T317=1,COUNTIF($T$4:T317,1),"")</f>
        <v/>
      </c>
      <c r="V317" s="23" t="str">
        <f t="shared" si="26"/>
        <v/>
      </c>
      <c r="W317" s="23">
        <f t="shared" si="27"/>
        <v>0</v>
      </c>
      <c r="X317" s="24"/>
      <c r="Y317" s="23"/>
    </row>
    <row r="318" spans="1:25" ht="11.25" customHeight="1" outlineLevel="1">
      <c r="A318" s="16"/>
      <c r="B318" s="20"/>
      <c r="C318" s="20"/>
      <c r="D318" s="20"/>
      <c r="E318" s="20"/>
      <c r="F318" s="21"/>
      <c r="G318" s="21"/>
      <c r="H318" s="21"/>
      <c r="I318" s="21"/>
      <c r="J318" s="20"/>
      <c r="K318" s="21"/>
      <c r="L318" s="21"/>
      <c r="M318" s="21"/>
      <c r="N318" s="21"/>
      <c r="O318" s="21"/>
      <c r="P318" s="21"/>
      <c r="Q318" s="21"/>
      <c r="R318" s="20"/>
      <c r="S318" s="22">
        <f t="shared" si="25"/>
        <v>0</v>
      </c>
      <c r="T318" s="22">
        <f>COUNTIF($V$4:V318,V318)</f>
        <v>47</v>
      </c>
      <c r="U318" s="22" t="str">
        <f>IF(T318=1,COUNTIF($T$4:T318,1),"")</f>
        <v/>
      </c>
      <c r="V318" s="23" t="str">
        <f t="shared" si="26"/>
        <v/>
      </c>
      <c r="W318" s="23">
        <f t="shared" si="27"/>
        <v>0</v>
      </c>
      <c r="X318" s="24"/>
      <c r="Y318" s="23"/>
    </row>
    <row r="319" spans="1:25" ht="11.25" customHeight="1" outlineLevel="1">
      <c r="A319" s="16"/>
      <c r="B319" s="20"/>
      <c r="C319" s="20"/>
      <c r="D319" s="20"/>
      <c r="E319" s="20"/>
      <c r="F319" s="21"/>
      <c r="G319" s="21"/>
      <c r="H319" s="21"/>
      <c r="I319" s="21"/>
      <c r="J319" s="20"/>
      <c r="K319" s="21"/>
      <c r="L319" s="21"/>
      <c r="M319" s="21"/>
      <c r="N319" s="21"/>
      <c r="O319" s="21"/>
      <c r="P319" s="21"/>
      <c r="Q319" s="21"/>
      <c r="R319" s="20"/>
      <c r="S319" s="22">
        <f t="shared" si="25"/>
        <v>0</v>
      </c>
      <c r="T319" s="22">
        <f>COUNTIF($V$4:V319,V319)</f>
        <v>48</v>
      </c>
      <c r="U319" s="22" t="str">
        <f>IF(T319=1,COUNTIF($T$4:T319,1),"")</f>
        <v/>
      </c>
      <c r="V319" s="23" t="str">
        <f t="shared" si="26"/>
        <v/>
      </c>
      <c r="W319" s="23">
        <f t="shared" si="27"/>
        <v>0</v>
      </c>
      <c r="X319" s="24"/>
      <c r="Y319" s="23"/>
    </row>
    <row r="320" spans="1:25" ht="11.25" customHeight="1" outlineLevel="1">
      <c r="A320" s="16"/>
      <c r="B320" s="20"/>
      <c r="C320" s="20"/>
      <c r="D320" s="20"/>
      <c r="E320" s="20"/>
      <c r="F320" s="21"/>
      <c r="G320" s="21"/>
      <c r="H320" s="21"/>
      <c r="I320" s="21"/>
      <c r="J320" s="20"/>
      <c r="K320" s="21"/>
      <c r="L320" s="21"/>
      <c r="M320" s="21"/>
      <c r="N320" s="21"/>
      <c r="O320" s="21"/>
      <c r="P320" s="21"/>
      <c r="Q320" s="21"/>
      <c r="R320" s="20"/>
      <c r="S320" s="22">
        <f t="shared" si="25"/>
        <v>0</v>
      </c>
      <c r="T320" s="22">
        <f>COUNTIF($V$4:V320,V320)</f>
        <v>49</v>
      </c>
      <c r="U320" s="22" t="str">
        <f>IF(T320=1,COUNTIF($T$4:T320,1),"")</f>
        <v/>
      </c>
      <c r="V320" s="23" t="str">
        <f t="shared" si="26"/>
        <v/>
      </c>
      <c r="W320" s="23">
        <f t="shared" si="27"/>
        <v>0</v>
      </c>
      <c r="X320" s="24"/>
      <c r="Y320" s="23"/>
    </row>
    <row r="321" spans="1:256" ht="11.25" customHeight="1" outlineLevel="1">
      <c r="A321" s="16"/>
      <c r="B321" s="20"/>
      <c r="C321" s="20"/>
      <c r="D321" s="20"/>
      <c r="E321" s="20"/>
      <c r="F321" s="21"/>
      <c r="G321" s="21"/>
      <c r="H321" s="21"/>
      <c r="I321" s="21"/>
      <c r="J321" s="20"/>
      <c r="K321" s="21"/>
      <c r="L321" s="21"/>
      <c r="M321" s="21"/>
      <c r="N321" s="21"/>
      <c r="O321" s="21"/>
      <c r="P321" s="21"/>
      <c r="Q321" s="21"/>
      <c r="R321" s="20"/>
      <c r="S321" s="22">
        <f t="shared" si="25"/>
        <v>0</v>
      </c>
      <c r="T321" s="22">
        <f>COUNTIF($V$4:V321,V321)</f>
        <v>50</v>
      </c>
      <c r="U321" s="22" t="str">
        <f>IF(T321=1,COUNTIF($T$4:T321,1),"")</f>
        <v/>
      </c>
      <c r="V321" s="23" t="str">
        <f t="shared" si="26"/>
        <v/>
      </c>
      <c r="W321" s="23">
        <f t="shared" si="27"/>
        <v>0</v>
      </c>
      <c r="X321" s="24"/>
      <c r="Y321" s="23"/>
    </row>
    <row r="322" spans="1:256" s="23" customFormat="1" ht="11.25" customHeight="1" outlineLevel="1">
      <c r="A322" s="16"/>
      <c r="B322" s="20"/>
      <c r="C322" s="20"/>
      <c r="D322" s="20"/>
      <c r="E322" s="20"/>
      <c r="F322" s="21"/>
      <c r="G322" s="21"/>
      <c r="H322" s="21"/>
      <c r="I322" s="21"/>
      <c r="J322" s="20"/>
      <c r="K322" s="21"/>
      <c r="L322" s="21"/>
      <c r="M322" s="21"/>
      <c r="N322" s="21"/>
      <c r="O322" s="21"/>
      <c r="P322" s="21"/>
      <c r="Q322" s="21"/>
      <c r="R322" s="20"/>
      <c r="S322" s="22">
        <f t="shared" si="25"/>
        <v>0</v>
      </c>
      <c r="T322" s="22">
        <f>COUNTIF($V$4:V322,V322)</f>
        <v>51</v>
      </c>
      <c r="U322" s="22" t="str">
        <f>IF(T322=1,COUNTIF($T$4:T322,1),"")</f>
        <v/>
      </c>
      <c r="V322" s="23" t="str">
        <f t="shared" si="26"/>
        <v/>
      </c>
      <c r="W322" s="23">
        <f t="shared" si="27"/>
        <v>0</v>
      </c>
      <c r="X322" s="24"/>
      <c r="Z322" s="9"/>
      <c r="AA322" s="9"/>
      <c r="AB322" s="9"/>
      <c r="AC322" s="9"/>
      <c r="AD322" s="9"/>
      <c r="AE322" s="9"/>
      <c r="AF322" s="9"/>
      <c r="AG322" s="9"/>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row>
    <row r="323" spans="1:256" ht="11.25" customHeight="1" outlineLevel="1">
      <c r="A323" s="16"/>
      <c r="B323" s="20"/>
      <c r="C323" s="20"/>
      <c r="D323" s="20"/>
      <c r="E323" s="20"/>
      <c r="F323" s="21"/>
      <c r="G323" s="21"/>
      <c r="H323" s="21"/>
      <c r="I323" s="21"/>
      <c r="J323" s="20"/>
      <c r="K323" s="21"/>
      <c r="L323" s="21"/>
      <c r="M323" s="21"/>
      <c r="N323" s="21"/>
      <c r="O323" s="21"/>
      <c r="P323" s="21"/>
      <c r="Q323" s="21"/>
      <c r="R323" s="20"/>
      <c r="S323" s="22">
        <f t="shared" si="25"/>
        <v>0</v>
      </c>
      <c r="T323" s="22">
        <f>COUNTIF($V$4:V323,V323)</f>
        <v>52</v>
      </c>
      <c r="U323" s="22" t="str">
        <f>IF(T323=1,COUNTIF($T$4:T323,1),"")</f>
        <v/>
      </c>
      <c r="V323" s="23" t="str">
        <f t="shared" si="26"/>
        <v/>
      </c>
      <c r="W323" s="23">
        <f t="shared" si="27"/>
        <v>0</v>
      </c>
      <c r="X323" s="24"/>
      <c r="Y323" s="23"/>
      <c r="Z323" s="23"/>
      <c r="AA323" s="23"/>
      <c r="AB323" s="23"/>
      <c r="AC323" s="23"/>
      <c r="AD323" s="23"/>
      <c r="AE323" s="23"/>
      <c r="AF323" s="23"/>
      <c r="AG323" s="23"/>
    </row>
    <row r="324" spans="1:256" ht="11.25" customHeight="1" outlineLevel="1">
      <c r="A324" s="16"/>
      <c r="B324" s="20"/>
      <c r="C324" s="20"/>
      <c r="D324" s="20"/>
      <c r="E324" s="20"/>
      <c r="F324" s="21"/>
      <c r="G324" s="21"/>
      <c r="H324" s="21"/>
      <c r="I324" s="21"/>
      <c r="J324" s="20"/>
      <c r="K324" s="21"/>
      <c r="L324" s="21"/>
      <c r="M324" s="21"/>
      <c r="N324" s="21"/>
      <c r="O324" s="21"/>
      <c r="P324" s="21"/>
      <c r="Q324" s="21"/>
      <c r="R324" s="20"/>
      <c r="S324" s="22">
        <f t="shared" si="25"/>
        <v>0</v>
      </c>
      <c r="T324" s="22">
        <f>COUNTIF($V$4:V324,V324)</f>
        <v>53</v>
      </c>
      <c r="U324" s="22" t="str">
        <f>IF(T324=1,COUNTIF($T$4:T324,1),"")</f>
        <v/>
      </c>
      <c r="V324" s="23" t="str">
        <f t="shared" si="26"/>
        <v/>
      </c>
      <c r="W324" s="23">
        <f t="shared" si="27"/>
        <v>0</v>
      </c>
      <c r="X324" s="24"/>
      <c r="Y324" s="23"/>
    </row>
    <row r="325" spans="1:256" outlineLevel="1">
      <c r="A325" s="16"/>
      <c r="B325" s="20"/>
      <c r="C325" s="20"/>
      <c r="D325" s="20"/>
      <c r="E325" s="20"/>
      <c r="F325" s="21"/>
      <c r="G325" s="21"/>
      <c r="H325" s="21"/>
      <c r="I325" s="21"/>
      <c r="J325" s="20"/>
      <c r="K325" s="21"/>
      <c r="L325" s="21"/>
      <c r="M325" s="21"/>
      <c r="N325" s="21"/>
      <c r="O325" s="21"/>
      <c r="P325" s="21"/>
      <c r="Q325" s="21"/>
      <c r="R325" s="20"/>
      <c r="S325" s="22">
        <f t="shared" si="25"/>
        <v>0</v>
      </c>
      <c r="T325" s="22">
        <f>COUNTIF($V$4:V325,V325)</f>
        <v>54</v>
      </c>
      <c r="U325" s="22" t="str">
        <f>IF(T325=1,COUNTIF($T$4:T325,1),"")</f>
        <v/>
      </c>
      <c r="V325" s="23" t="str">
        <f t="shared" si="26"/>
        <v/>
      </c>
      <c r="W325" s="23">
        <f t="shared" si="27"/>
        <v>0</v>
      </c>
      <c r="X325" s="24"/>
      <c r="Y325" s="23"/>
    </row>
    <row r="326" spans="1:256" outlineLevel="1">
      <c r="A326" s="16"/>
      <c r="B326" s="20"/>
      <c r="C326" s="20"/>
      <c r="D326" s="20"/>
      <c r="E326" s="20"/>
      <c r="F326" s="21"/>
      <c r="G326" s="21"/>
      <c r="H326" s="21"/>
      <c r="I326" s="21"/>
      <c r="J326" s="20"/>
      <c r="K326" s="21"/>
      <c r="L326" s="21"/>
      <c r="M326" s="21"/>
      <c r="N326" s="21"/>
      <c r="O326" s="21"/>
      <c r="P326" s="21"/>
      <c r="Q326" s="21"/>
      <c r="R326" s="20"/>
      <c r="S326" s="22">
        <f t="shared" ref="S326:S389" si="28">A326</f>
        <v>0</v>
      </c>
      <c r="T326" s="22">
        <f>COUNTIF($V$4:V326,V326)</f>
        <v>55</v>
      </c>
      <c r="U326" s="22" t="str">
        <f>IF(T326=1,COUNTIF($T$4:T326,1),"")</f>
        <v/>
      </c>
      <c r="V326" s="23" t="str">
        <f t="shared" ref="V326:V389" si="29">$E326&amp;$C326</f>
        <v/>
      </c>
      <c r="W326" s="23">
        <f t="shared" ref="W326:W389" si="30">$F326</f>
        <v>0</v>
      </c>
      <c r="X326" s="24"/>
      <c r="Y326" s="23"/>
    </row>
    <row r="327" spans="1:256" outlineLevel="1">
      <c r="A327" s="16"/>
      <c r="B327" s="20"/>
      <c r="C327" s="20"/>
      <c r="D327" s="20"/>
      <c r="E327" s="20"/>
      <c r="F327" s="21"/>
      <c r="G327" s="21"/>
      <c r="H327" s="21"/>
      <c r="I327" s="21"/>
      <c r="J327" s="20"/>
      <c r="K327" s="21"/>
      <c r="L327" s="21"/>
      <c r="M327" s="21"/>
      <c r="N327" s="21"/>
      <c r="O327" s="21"/>
      <c r="P327" s="21"/>
      <c r="Q327" s="21"/>
      <c r="R327" s="20"/>
      <c r="S327" s="22">
        <f t="shared" si="28"/>
        <v>0</v>
      </c>
      <c r="T327" s="22">
        <f>COUNTIF($V$4:V327,V327)</f>
        <v>56</v>
      </c>
      <c r="U327" s="22" t="str">
        <f>IF(T327=1,COUNTIF($T$4:T327,1),"")</f>
        <v/>
      </c>
      <c r="V327" s="23" t="str">
        <f t="shared" si="29"/>
        <v/>
      </c>
      <c r="W327" s="23">
        <f t="shared" si="30"/>
        <v>0</v>
      </c>
      <c r="X327" s="24"/>
      <c r="Y327" s="23"/>
    </row>
    <row r="328" spans="1:256" ht="11.25" customHeight="1" outlineLevel="1">
      <c r="A328" s="16"/>
      <c r="B328" s="20"/>
      <c r="C328" s="20"/>
      <c r="D328" s="20"/>
      <c r="E328" s="20"/>
      <c r="F328" s="21"/>
      <c r="G328" s="21"/>
      <c r="H328" s="21"/>
      <c r="I328" s="21"/>
      <c r="J328" s="20"/>
      <c r="K328" s="21"/>
      <c r="L328" s="21"/>
      <c r="M328" s="21"/>
      <c r="N328" s="21"/>
      <c r="O328" s="21"/>
      <c r="P328" s="21"/>
      <c r="Q328" s="21"/>
      <c r="R328" s="20"/>
      <c r="S328" s="22">
        <f t="shared" si="28"/>
        <v>0</v>
      </c>
      <c r="T328" s="22">
        <f>COUNTIF($V$4:V328,V328)</f>
        <v>57</v>
      </c>
      <c r="U328" s="22" t="str">
        <f>IF(T328=1,COUNTIF($T$4:T328,1),"")</f>
        <v/>
      </c>
      <c r="V328" s="23" t="str">
        <f t="shared" si="29"/>
        <v/>
      </c>
      <c r="W328" s="23">
        <f t="shared" si="30"/>
        <v>0</v>
      </c>
      <c r="X328" s="24"/>
      <c r="Y328" s="23"/>
    </row>
    <row r="329" spans="1:256" ht="11.25" customHeight="1" outlineLevel="1">
      <c r="A329" s="16"/>
      <c r="B329" s="20"/>
      <c r="C329" s="20"/>
      <c r="D329" s="20"/>
      <c r="E329" s="20"/>
      <c r="F329" s="21"/>
      <c r="G329" s="21"/>
      <c r="H329" s="21"/>
      <c r="I329" s="21"/>
      <c r="J329" s="20"/>
      <c r="K329" s="21"/>
      <c r="L329" s="21"/>
      <c r="M329" s="21"/>
      <c r="N329" s="21"/>
      <c r="O329" s="21"/>
      <c r="P329" s="21"/>
      <c r="Q329" s="21"/>
      <c r="R329" s="20"/>
      <c r="S329" s="22">
        <f t="shared" si="28"/>
        <v>0</v>
      </c>
      <c r="T329" s="22">
        <f>COUNTIF($V$4:V329,V329)</f>
        <v>58</v>
      </c>
      <c r="U329" s="22" t="str">
        <f>IF(T329=1,COUNTIF($T$4:T329,1),"")</f>
        <v/>
      </c>
      <c r="V329" s="23" t="str">
        <f t="shared" si="29"/>
        <v/>
      </c>
      <c r="W329" s="23">
        <f t="shared" si="30"/>
        <v>0</v>
      </c>
      <c r="X329" s="24"/>
      <c r="Y329" s="23"/>
    </row>
    <row r="330" spans="1:256" ht="11.25" customHeight="1" outlineLevel="1">
      <c r="A330" s="16"/>
      <c r="B330" s="20"/>
      <c r="C330" s="20"/>
      <c r="D330" s="20"/>
      <c r="E330" s="20"/>
      <c r="F330" s="21"/>
      <c r="G330" s="21"/>
      <c r="H330" s="21"/>
      <c r="I330" s="21"/>
      <c r="J330" s="20"/>
      <c r="K330" s="39"/>
      <c r="L330" s="21"/>
      <c r="M330" s="21"/>
      <c r="N330" s="21"/>
      <c r="O330" s="21"/>
      <c r="P330" s="21"/>
      <c r="Q330" s="21"/>
      <c r="R330" s="40"/>
      <c r="S330" s="22">
        <f t="shared" si="28"/>
        <v>0</v>
      </c>
      <c r="T330" s="22">
        <f>COUNTIF($V$4:V330,V330)</f>
        <v>59</v>
      </c>
      <c r="U330" s="22" t="str">
        <f>IF(T330=1,COUNTIF($T$4:T330,1),"")</f>
        <v/>
      </c>
      <c r="V330" s="23" t="str">
        <f t="shared" si="29"/>
        <v/>
      </c>
      <c r="W330" s="23">
        <f t="shared" si="30"/>
        <v>0</v>
      </c>
      <c r="X330" s="24"/>
      <c r="Y330" s="23"/>
    </row>
    <row r="331" spans="1:256" outlineLevel="1">
      <c r="A331" s="16"/>
      <c r="B331" s="20"/>
      <c r="C331" s="20"/>
      <c r="D331" s="20"/>
      <c r="E331" s="20"/>
      <c r="F331" s="21"/>
      <c r="G331" s="21"/>
      <c r="H331" s="21"/>
      <c r="I331" s="21"/>
      <c r="J331" s="20"/>
      <c r="K331" s="21"/>
      <c r="L331" s="21"/>
      <c r="M331" s="21"/>
      <c r="N331" s="21"/>
      <c r="O331" s="21"/>
      <c r="P331" s="21"/>
      <c r="Q331" s="21"/>
      <c r="R331" s="20"/>
      <c r="S331" s="22">
        <f t="shared" si="28"/>
        <v>0</v>
      </c>
      <c r="T331" s="22">
        <f>COUNTIF($V$4:V331,V331)</f>
        <v>60</v>
      </c>
      <c r="U331" s="22" t="str">
        <f>IF(T331=1,COUNTIF($T$4:T331,1),"")</f>
        <v/>
      </c>
      <c r="V331" s="23" t="str">
        <f t="shared" si="29"/>
        <v/>
      </c>
      <c r="W331" s="23">
        <f t="shared" si="30"/>
        <v>0</v>
      </c>
      <c r="X331" s="24"/>
      <c r="Y331" s="23"/>
    </row>
    <row r="332" spans="1:256" outlineLevel="1">
      <c r="A332" s="16"/>
      <c r="B332" s="20"/>
      <c r="C332" s="20"/>
      <c r="D332" s="20"/>
      <c r="E332" s="20"/>
      <c r="F332" s="21"/>
      <c r="G332" s="21"/>
      <c r="H332" s="21"/>
      <c r="I332" s="21"/>
      <c r="J332" s="20"/>
      <c r="K332" s="21"/>
      <c r="L332" s="21"/>
      <c r="M332" s="21"/>
      <c r="N332" s="21"/>
      <c r="O332" s="21"/>
      <c r="P332" s="21"/>
      <c r="Q332" s="21"/>
      <c r="R332" s="20"/>
      <c r="S332" s="22">
        <f t="shared" si="28"/>
        <v>0</v>
      </c>
      <c r="T332" s="22">
        <f>COUNTIF($V$4:V332,V332)</f>
        <v>61</v>
      </c>
      <c r="U332" s="22" t="str">
        <f>IF(T332=1,COUNTIF($T$4:T332,1),"")</f>
        <v/>
      </c>
      <c r="V332" s="23" t="str">
        <f t="shared" si="29"/>
        <v/>
      </c>
      <c r="W332" s="23">
        <f t="shared" si="30"/>
        <v>0</v>
      </c>
      <c r="X332" s="24"/>
      <c r="Y332" s="23"/>
    </row>
    <row r="333" spans="1:256" ht="11.25" customHeight="1" outlineLevel="1">
      <c r="A333" s="16"/>
      <c r="B333" s="20"/>
      <c r="C333" s="20"/>
      <c r="D333" s="20"/>
      <c r="E333" s="20"/>
      <c r="F333" s="21"/>
      <c r="G333" s="21"/>
      <c r="H333" s="21"/>
      <c r="I333" s="21"/>
      <c r="J333" s="20"/>
      <c r="K333" s="21"/>
      <c r="L333" s="21"/>
      <c r="M333" s="21"/>
      <c r="N333" s="21"/>
      <c r="O333" s="21"/>
      <c r="P333" s="21"/>
      <c r="Q333" s="21"/>
      <c r="R333" s="20"/>
      <c r="S333" s="22">
        <f t="shared" si="28"/>
        <v>0</v>
      </c>
      <c r="T333" s="22">
        <f>COUNTIF($V$4:V333,V333)</f>
        <v>62</v>
      </c>
      <c r="U333" s="22" t="str">
        <f>IF(T333=1,COUNTIF($T$4:T333,1),"")</f>
        <v/>
      </c>
      <c r="V333" s="23" t="str">
        <f t="shared" si="29"/>
        <v/>
      </c>
      <c r="W333" s="23">
        <f t="shared" si="30"/>
        <v>0</v>
      </c>
      <c r="X333" s="24"/>
      <c r="Y333" s="23"/>
    </row>
    <row r="334" spans="1:256" ht="11.25" customHeight="1" outlineLevel="1">
      <c r="A334" s="16"/>
      <c r="B334" s="20"/>
      <c r="C334" s="20"/>
      <c r="D334" s="20"/>
      <c r="E334" s="20"/>
      <c r="F334" s="21"/>
      <c r="G334" s="21"/>
      <c r="H334" s="21"/>
      <c r="I334" s="21"/>
      <c r="J334" s="20"/>
      <c r="K334" s="21"/>
      <c r="L334" s="21"/>
      <c r="M334" s="21"/>
      <c r="N334" s="21"/>
      <c r="O334" s="21"/>
      <c r="P334" s="21"/>
      <c r="Q334" s="21"/>
      <c r="R334" s="20"/>
      <c r="S334" s="22">
        <f t="shared" si="28"/>
        <v>0</v>
      </c>
      <c r="T334" s="22">
        <f>COUNTIF($V$4:V334,V334)</f>
        <v>63</v>
      </c>
      <c r="U334" s="22" t="str">
        <f>IF(T334=1,COUNTIF($T$4:T334,1),"")</f>
        <v/>
      </c>
      <c r="V334" s="23" t="str">
        <f t="shared" si="29"/>
        <v/>
      </c>
      <c r="W334" s="23">
        <f t="shared" si="30"/>
        <v>0</v>
      </c>
      <c r="X334" s="24"/>
      <c r="Y334" s="23"/>
    </row>
    <row r="335" spans="1:256" ht="11.25" customHeight="1" outlineLevel="1">
      <c r="A335" s="16"/>
      <c r="B335" s="20"/>
      <c r="C335" s="20"/>
      <c r="D335" s="20"/>
      <c r="E335" s="20"/>
      <c r="F335" s="21"/>
      <c r="G335" s="21"/>
      <c r="H335" s="21"/>
      <c r="I335" s="21"/>
      <c r="J335" s="20"/>
      <c r="K335" s="21"/>
      <c r="L335" s="21"/>
      <c r="M335" s="21"/>
      <c r="N335" s="21"/>
      <c r="O335" s="21"/>
      <c r="P335" s="21"/>
      <c r="Q335" s="21"/>
      <c r="R335" s="20"/>
      <c r="S335" s="22">
        <f t="shared" si="28"/>
        <v>0</v>
      </c>
      <c r="T335" s="22">
        <f>COUNTIF($V$4:V335,V335)</f>
        <v>64</v>
      </c>
      <c r="U335" s="22" t="str">
        <f>IF(T335=1,COUNTIF($T$4:T335,1),"")</f>
        <v/>
      </c>
      <c r="V335" s="23" t="str">
        <f t="shared" si="29"/>
        <v/>
      </c>
      <c r="W335" s="23">
        <f t="shared" si="30"/>
        <v>0</v>
      </c>
      <c r="X335" s="24"/>
      <c r="Y335" s="23"/>
    </row>
    <row r="336" spans="1:256" ht="11.25" customHeight="1" outlineLevel="1">
      <c r="A336" s="16"/>
      <c r="B336" s="20"/>
      <c r="C336" s="20"/>
      <c r="D336" s="20"/>
      <c r="E336" s="20"/>
      <c r="F336" s="21"/>
      <c r="G336" s="21"/>
      <c r="H336" s="21"/>
      <c r="I336" s="21"/>
      <c r="J336" s="20"/>
      <c r="K336" s="21"/>
      <c r="L336" s="21"/>
      <c r="M336" s="21"/>
      <c r="N336" s="21"/>
      <c r="O336" s="21"/>
      <c r="P336" s="21"/>
      <c r="Q336" s="21"/>
      <c r="R336" s="20"/>
      <c r="S336" s="22">
        <f t="shared" si="28"/>
        <v>0</v>
      </c>
      <c r="T336" s="22">
        <f>COUNTIF($V$4:V336,V336)</f>
        <v>65</v>
      </c>
      <c r="U336" s="22" t="str">
        <f>IF(T336=1,COUNTIF($T$4:T336,1),"")</f>
        <v/>
      </c>
      <c r="V336" s="23" t="str">
        <f t="shared" si="29"/>
        <v/>
      </c>
      <c r="W336" s="23">
        <f t="shared" si="30"/>
        <v>0</v>
      </c>
      <c r="X336" s="24"/>
      <c r="Y336" s="23"/>
    </row>
    <row r="337" spans="1:256" ht="11.25" customHeight="1" outlineLevel="1">
      <c r="A337" s="16"/>
      <c r="B337" s="20"/>
      <c r="C337" s="20"/>
      <c r="D337" s="20"/>
      <c r="E337" s="20"/>
      <c r="F337" s="21"/>
      <c r="G337" s="21"/>
      <c r="H337" s="21"/>
      <c r="I337" s="21"/>
      <c r="J337" s="20"/>
      <c r="K337" s="21"/>
      <c r="L337" s="21"/>
      <c r="M337" s="21"/>
      <c r="N337" s="21"/>
      <c r="O337" s="21"/>
      <c r="P337" s="21"/>
      <c r="Q337" s="21"/>
      <c r="R337" s="20"/>
      <c r="S337" s="22">
        <f t="shared" si="28"/>
        <v>0</v>
      </c>
      <c r="T337" s="22">
        <f>COUNTIF($V$4:V337,V337)</f>
        <v>66</v>
      </c>
      <c r="U337" s="22" t="str">
        <f>IF(T337=1,COUNTIF($T$4:T337,1),"")</f>
        <v/>
      </c>
      <c r="V337" s="23" t="str">
        <f t="shared" si="29"/>
        <v/>
      </c>
      <c r="W337" s="23">
        <f t="shared" si="30"/>
        <v>0</v>
      </c>
      <c r="X337" s="24"/>
      <c r="Y337" s="23"/>
    </row>
    <row r="338" spans="1:256" ht="11.25" customHeight="1" outlineLevel="1">
      <c r="A338" s="16"/>
      <c r="B338" s="20"/>
      <c r="C338" s="20"/>
      <c r="D338" s="20"/>
      <c r="E338" s="20"/>
      <c r="F338" s="21"/>
      <c r="G338" s="21"/>
      <c r="H338" s="21"/>
      <c r="I338" s="21"/>
      <c r="J338" s="20"/>
      <c r="K338" s="21"/>
      <c r="L338" s="21"/>
      <c r="M338" s="21"/>
      <c r="N338" s="21"/>
      <c r="O338" s="21"/>
      <c r="P338" s="21"/>
      <c r="Q338" s="21"/>
      <c r="R338" s="20"/>
      <c r="S338" s="22">
        <f t="shared" si="28"/>
        <v>0</v>
      </c>
      <c r="T338" s="22">
        <f>COUNTIF($V$4:V338,V338)</f>
        <v>67</v>
      </c>
      <c r="U338" s="22" t="str">
        <f>IF(T338=1,COUNTIF($T$4:T338,1),"")</f>
        <v/>
      </c>
      <c r="V338" s="23" t="str">
        <f t="shared" si="29"/>
        <v/>
      </c>
      <c r="W338" s="23">
        <f t="shared" si="30"/>
        <v>0</v>
      </c>
      <c r="X338" s="24"/>
      <c r="Y338" s="23"/>
    </row>
    <row r="339" spans="1:256" ht="11.25" customHeight="1" outlineLevel="1">
      <c r="A339" s="16"/>
      <c r="B339" s="20"/>
      <c r="C339" s="20"/>
      <c r="D339" s="20"/>
      <c r="E339" s="20"/>
      <c r="F339" s="21"/>
      <c r="G339" s="21"/>
      <c r="H339" s="21"/>
      <c r="I339" s="21"/>
      <c r="J339" s="20"/>
      <c r="K339" s="21"/>
      <c r="L339" s="21"/>
      <c r="M339" s="21"/>
      <c r="N339" s="21"/>
      <c r="O339" s="21"/>
      <c r="P339" s="21"/>
      <c r="Q339" s="21"/>
      <c r="R339" s="20"/>
      <c r="S339" s="22">
        <f t="shared" si="28"/>
        <v>0</v>
      </c>
      <c r="T339" s="22">
        <f>COUNTIF($V$4:V339,V339)</f>
        <v>68</v>
      </c>
      <c r="U339" s="22" t="str">
        <f>IF(T339=1,COUNTIF($T$4:T339,1),"")</f>
        <v/>
      </c>
      <c r="V339" s="23" t="str">
        <f t="shared" si="29"/>
        <v/>
      </c>
      <c r="W339" s="23">
        <f t="shared" si="30"/>
        <v>0</v>
      </c>
      <c r="X339" s="24"/>
      <c r="Y339" s="23"/>
    </row>
    <row r="340" spans="1:256" ht="11.25" customHeight="1" outlineLevel="1">
      <c r="A340" s="16"/>
      <c r="B340" s="20"/>
      <c r="C340" s="20"/>
      <c r="D340" s="20"/>
      <c r="E340" s="20"/>
      <c r="F340" s="21"/>
      <c r="G340" s="21"/>
      <c r="H340" s="21"/>
      <c r="I340" s="21"/>
      <c r="J340" s="20"/>
      <c r="K340" s="21"/>
      <c r="L340" s="21"/>
      <c r="M340" s="21"/>
      <c r="N340" s="21"/>
      <c r="O340" s="39"/>
      <c r="P340" s="21"/>
      <c r="Q340" s="21"/>
      <c r="R340" s="20"/>
      <c r="S340" s="22">
        <f t="shared" si="28"/>
        <v>0</v>
      </c>
      <c r="T340" s="22">
        <f>COUNTIF($V$4:V340,V340)</f>
        <v>69</v>
      </c>
      <c r="U340" s="22" t="str">
        <f>IF(T340=1,COUNTIF($T$4:T340,1),"")</f>
        <v/>
      </c>
      <c r="V340" s="23" t="str">
        <f t="shared" si="29"/>
        <v/>
      </c>
      <c r="W340" s="23">
        <f t="shared" si="30"/>
        <v>0</v>
      </c>
      <c r="X340" s="24"/>
      <c r="Y340" s="23"/>
    </row>
    <row r="341" spans="1:256" ht="11.25" customHeight="1" outlineLevel="1">
      <c r="A341" s="16"/>
      <c r="B341" s="20"/>
      <c r="C341" s="20"/>
      <c r="D341" s="20"/>
      <c r="E341" s="20"/>
      <c r="F341" s="21"/>
      <c r="G341" s="21"/>
      <c r="H341" s="21"/>
      <c r="I341" s="21"/>
      <c r="J341" s="20"/>
      <c r="K341" s="21"/>
      <c r="L341" s="21"/>
      <c r="M341" s="21"/>
      <c r="N341" s="21"/>
      <c r="O341" s="39"/>
      <c r="P341" s="21"/>
      <c r="Q341" s="21"/>
      <c r="R341" s="20"/>
      <c r="S341" s="22">
        <f t="shared" si="28"/>
        <v>0</v>
      </c>
      <c r="T341" s="22">
        <f>COUNTIF($V$4:V341,V341)</f>
        <v>70</v>
      </c>
      <c r="U341" s="22" t="str">
        <f>IF(T341=1,COUNTIF($T$4:T341,1),"")</f>
        <v/>
      </c>
      <c r="V341" s="23" t="str">
        <f t="shared" si="29"/>
        <v/>
      </c>
      <c r="W341" s="23">
        <f t="shared" si="30"/>
        <v>0</v>
      </c>
      <c r="X341" s="24"/>
      <c r="Y341" s="23"/>
    </row>
    <row r="342" spans="1:256" ht="11.25" customHeight="1" outlineLevel="1">
      <c r="A342" s="16"/>
      <c r="B342" s="20"/>
      <c r="C342" s="20"/>
      <c r="D342" s="20"/>
      <c r="E342" s="20"/>
      <c r="F342" s="21"/>
      <c r="G342" s="21"/>
      <c r="H342" s="21"/>
      <c r="I342" s="21"/>
      <c r="J342" s="20"/>
      <c r="K342" s="21"/>
      <c r="L342" s="21"/>
      <c r="M342" s="21"/>
      <c r="N342" s="21"/>
      <c r="O342" s="39"/>
      <c r="P342" s="21"/>
      <c r="Q342" s="21"/>
      <c r="R342" s="20"/>
      <c r="S342" s="22">
        <f t="shared" si="28"/>
        <v>0</v>
      </c>
      <c r="T342" s="22">
        <f>COUNTIF($V$4:V342,V342)</f>
        <v>71</v>
      </c>
      <c r="U342" s="22" t="str">
        <f>IF(T342=1,COUNTIF($T$4:T342,1),"")</f>
        <v/>
      </c>
      <c r="V342" s="23" t="str">
        <f t="shared" si="29"/>
        <v/>
      </c>
      <c r="W342" s="23">
        <f t="shared" si="30"/>
        <v>0</v>
      </c>
      <c r="X342" s="24"/>
      <c r="Y342" s="23"/>
    </row>
    <row r="343" spans="1:256" ht="11.25" customHeight="1" outlineLevel="1">
      <c r="A343" s="16"/>
      <c r="B343" s="20"/>
      <c r="C343" s="41"/>
      <c r="D343" s="20"/>
      <c r="E343" s="20"/>
      <c r="F343" s="21"/>
      <c r="G343" s="21"/>
      <c r="H343" s="21"/>
      <c r="I343" s="21"/>
      <c r="J343" s="20"/>
      <c r="K343" s="21"/>
      <c r="L343" s="21"/>
      <c r="M343" s="21"/>
      <c r="N343" s="21"/>
      <c r="O343" s="39"/>
      <c r="P343" s="21"/>
      <c r="Q343" s="21"/>
      <c r="R343" s="20"/>
      <c r="S343" s="22">
        <f t="shared" si="28"/>
        <v>0</v>
      </c>
      <c r="T343" s="22">
        <f>COUNTIF($V$4:V343,V343)</f>
        <v>72</v>
      </c>
      <c r="U343" s="22" t="str">
        <f>IF(T343=1,COUNTIF($T$4:T343,1),"")</f>
        <v/>
      </c>
      <c r="V343" s="23" t="str">
        <f t="shared" si="29"/>
        <v/>
      </c>
      <c r="W343" s="23">
        <f t="shared" si="30"/>
        <v>0</v>
      </c>
      <c r="X343" s="24"/>
      <c r="Y343" s="23"/>
    </row>
    <row r="344" spans="1:256" ht="11.25" customHeight="1" outlineLevel="1">
      <c r="A344" s="16"/>
      <c r="B344" s="20"/>
      <c r="C344" s="20"/>
      <c r="D344" s="20"/>
      <c r="E344" s="20"/>
      <c r="F344" s="21"/>
      <c r="G344" s="21"/>
      <c r="H344" s="21"/>
      <c r="I344" s="21"/>
      <c r="J344" s="20"/>
      <c r="K344" s="21"/>
      <c r="L344" s="21"/>
      <c r="M344" s="21"/>
      <c r="N344" s="21"/>
      <c r="O344" s="39"/>
      <c r="P344" s="21"/>
      <c r="Q344" s="21"/>
      <c r="R344" s="20"/>
      <c r="S344" s="22">
        <f t="shared" si="28"/>
        <v>0</v>
      </c>
      <c r="T344" s="22">
        <f>COUNTIF($V$4:V344,V344)</f>
        <v>73</v>
      </c>
      <c r="U344" s="22" t="str">
        <f>IF(T344=1,COUNTIF($T$4:T344,1),"")</f>
        <v/>
      </c>
      <c r="V344" s="23" t="str">
        <f t="shared" si="29"/>
        <v/>
      </c>
      <c r="W344" s="23">
        <f t="shared" si="30"/>
        <v>0</v>
      </c>
      <c r="X344" s="24"/>
      <c r="Y344" s="23"/>
    </row>
    <row r="345" spans="1:256" ht="11.25" customHeight="1" outlineLevel="1">
      <c r="A345" s="16"/>
      <c r="B345" s="20"/>
      <c r="C345" s="41"/>
      <c r="D345" s="20"/>
      <c r="E345" s="20"/>
      <c r="F345" s="21"/>
      <c r="G345" s="21"/>
      <c r="H345" s="21"/>
      <c r="I345" s="21"/>
      <c r="J345" s="20"/>
      <c r="K345" s="21"/>
      <c r="L345" s="21"/>
      <c r="M345" s="21"/>
      <c r="N345" s="21"/>
      <c r="O345" s="39"/>
      <c r="P345" s="21"/>
      <c r="Q345" s="21"/>
      <c r="R345" s="20"/>
      <c r="S345" s="22">
        <f t="shared" si="28"/>
        <v>0</v>
      </c>
      <c r="T345" s="22">
        <f>COUNTIF($V$4:V345,V345)</f>
        <v>74</v>
      </c>
      <c r="U345" s="22" t="str">
        <f>IF(T345=1,COUNTIF($T$4:T345,1),"")</f>
        <v/>
      </c>
      <c r="V345" s="23" t="str">
        <f t="shared" si="29"/>
        <v/>
      </c>
      <c r="W345" s="23">
        <f t="shared" si="30"/>
        <v>0</v>
      </c>
      <c r="X345" s="24"/>
      <c r="Y345" s="23"/>
    </row>
    <row r="346" spans="1:256" ht="11.25" customHeight="1" outlineLevel="1">
      <c r="A346" s="16"/>
      <c r="B346" s="20"/>
      <c r="C346" s="20"/>
      <c r="D346" s="20"/>
      <c r="E346" s="20"/>
      <c r="F346" s="21"/>
      <c r="G346" s="21"/>
      <c r="H346" s="21"/>
      <c r="I346" s="21"/>
      <c r="J346" s="20"/>
      <c r="K346" s="21"/>
      <c r="L346" s="21"/>
      <c r="M346" s="21"/>
      <c r="N346" s="21"/>
      <c r="O346" s="39"/>
      <c r="P346" s="21"/>
      <c r="Q346" s="21"/>
      <c r="R346" s="20"/>
      <c r="S346" s="22">
        <f t="shared" si="28"/>
        <v>0</v>
      </c>
      <c r="T346" s="22">
        <f>COUNTIF($V$4:V346,V346)</f>
        <v>75</v>
      </c>
      <c r="U346" s="22" t="str">
        <f>IF(T346=1,COUNTIF($T$4:T346,1),"")</f>
        <v/>
      </c>
      <c r="V346" s="23" t="str">
        <f t="shared" si="29"/>
        <v/>
      </c>
      <c r="W346" s="23">
        <f t="shared" si="30"/>
        <v>0</v>
      </c>
      <c r="X346" s="24"/>
      <c r="Y346" s="23"/>
    </row>
    <row r="347" spans="1:256" s="23" customFormat="1" ht="11.25" customHeight="1" outlineLevel="1">
      <c r="A347" s="16"/>
      <c r="B347" s="20"/>
      <c r="C347" s="41"/>
      <c r="D347" s="20"/>
      <c r="E347" s="20"/>
      <c r="F347" s="21"/>
      <c r="G347" s="42"/>
      <c r="H347" s="42"/>
      <c r="I347" s="42"/>
      <c r="J347" s="20"/>
      <c r="K347" s="21"/>
      <c r="L347" s="21"/>
      <c r="M347" s="21"/>
      <c r="N347" s="21"/>
      <c r="O347" s="21"/>
      <c r="P347" s="21"/>
      <c r="Q347" s="21"/>
      <c r="R347" s="20"/>
      <c r="S347" s="22">
        <f t="shared" si="28"/>
        <v>0</v>
      </c>
      <c r="T347" s="22">
        <f>COUNTIF($V$4:V347,V347)</f>
        <v>76</v>
      </c>
      <c r="U347" s="22" t="str">
        <f>IF(T347=1,COUNTIF($T$4:T347,1),"")</f>
        <v/>
      </c>
      <c r="V347" s="23" t="str">
        <f t="shared" si="29"/>
        <v/>
      </c>
      <c r="W347" s="23">
        <f t="shared" si="30"/>
        <v>0</v>
      </c>
      <c r="X347" s="24"/>
      <c r="Z347" s="9"/>
      <c r="AA347" s="9"/>
      <c r="AB347" s="9"/>
      <c r="AC347" s="9"/>
      <c r="AD347" s="9"/>
      <c r="AE347" s="9"/>
      <c r="AF347" s="9"/>
      <c r="AG347" s="9"/>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row>
    <row r="348" spans="1:256" ht="11.25" customHeight="1" outlineLevel="1">
      <c r="A348" s="16"/>
      <c r="B348" s="20"/>
      <c r="C348" s="41"/>
      <c r="D348" s="20"/>
      <c r="E348" s="20"/>
      <c r="F348" s="21"/>
      <c r="G348" s="42"/>
      <c r="H348" s="42"/>
      <c r="I348" s="42"/>
      <c r="J348" s="20"/>
      <c r="K348" s="21"/>
      <c r="L348" s="21"/>
      <c r="M348" s="21"/>
      <c r="N348" s="21"/>
      <c r="O348" s="21"/>
      <c r="P348" s="21"/>
      <c r="Q348" s="21"/>
      <c r="R348" s="20"/>
      <c r="S348" s="22">
        <f t="shared" si="28"/>
        <v>0</v>
      </c>
      <c r="T348" s="22">
        <f>COUNTIF($V$4:V348,V348)</f>
        <v>77</v>
      </c>
      <c r="U348" s="22" t="str">
        <f>IF(T348=1,COUNTIF($T$4:T348,1),"")</f>
        <v/>
      </c>
      <c r="V348" s="23" t="str">
        <f t="shared" si="29"/>
        <v/>
      </c>
      <c r="W348" s="23">
        <f t="shared" si="30"/>
        <v>0</v>
      </c>
      <c r="X348" s="24"/>
      <c r="Y348" s="23"/>
      <c r="Z348" s="23"/>
      <c r="AA348" s="23"/>
      <c r="AB348" s="23"/>
      <c r="AC348" s="23"/>
      <c r="AD348" s="23"/>
      <c r="AE348" s="23"/>
      <c r="AF348" s="23"/>
      <c r="AG348" s="23"/>
    </row>
    <row r="349" spans="1:256" ht="11.25" customHeight="1" outlineLevel="1">
      <c r="A349" s="16"/>
      <c r="B349" s="20"/>
      <c r="C349" s="41"/>
      <c r="D349" s="20"/>
      <c r="E349" s="20"/>
      <c r="F349" s="21"/>
      <c r="G349" s="42"/>
      <c r="H349" s="42"/>
      <c r="I349" s="42"/>
      <c r="J349" s="20"/>
      <c r="K349" s="21"/>
      <c r="L349" s="21"/>
      <c r="M349" s="21"/>
      <c r="N349" s="21"/>
      <c r="O349" s="21"/>
      <c r="P349" s="21"/>
      <c r="Q349" s="21"/>
      <c r="R349" s="20"/>
      <c r="S349" s="22">
        <f t="shared" si="28"/>
        <v>0</v>
      </c>
      <c r="T349" s="22">
        <f>COUNTIF($V$4:V349,V349)</f>
        <v>78</v>
      </c>
      <c r="U349" s="22" t="str">
        <f>IF(T349=1,COUNTIF($T$4:T349,1),"")</f>
        <v/>
      </c>
      <c r="V349" s="23" t="str">
        <f t="shared" si="29"/>
        <v/>
      </c>
      <c r="W349" s="23">
        <f t="shared" si="30"/>
        <v>0</v>
      </c>
      <c r="X349" s="24"/>
      <c r="Y349" s="23"/>
    </row>
    <row r="350" spans="1:256" s="23" customFormat="1" ht="11.25" customHeight="1" outlineLevel="1">
      <c r="A350" s="16"/>
      <c r="B350" s="20"/>
      <c r="C350" s="41"/>
      <c r="D350" s="20"/>
      <c r="E350" s="20"/>
      <c r="F350" s="21"/>
      <c r="G350" s="42"/>
      <c r="H350" s="42"/>
      <c r="I350" s="42"/>
      <c r="J350" s="20"/>
      <c r="K350" s="21"/>
      <c r="L350" s="21"/>
      <c r="M350" s="21"/>
      <c r="N350" s="21"/>
      <c r="O350" s="21"/>
      <c r="P350" s="21"/>
      <c r="Q350" s="21"/>
      <c r="R350" s="20"/>
      <c r="S350" s="22">
        <f t="shared" si="28"/>
        <v>0</v>
      </c>
      <c r="T350" s="22">
        <f>COUNTIF($V$4:V350,V350)</f>
        <v>79</v>
      </c>
      <c r="U350" s="22" t="str">
        <f>IF(T350=1,COUNTIF($T$4:T350,1),"")</f>
        <v/>
      </c>
      <c r="V350" s="23" t="str">
        <f t="shared" si="29"/>
        <v/>
      </c>
      <c r="W350" s="23">
        <f t="shared" si="30"/>
        <v>0</v>
      </c>
      <c r="X350" s="24"/>
      <c r="Z350" s="9"/>
      <c r="AA350" s="9"/>
      <c r="AB350" s="9"/>
      <c r="AC350" s="9"/>
      <c r="AD350" s="9"/>
      <c r="AE350" s="9"/>
      <c r="AF350" s="9"/>
      <c r="AG350" s="9"/>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row>
    <row r="351" spans="1:256" ht="11.25" customHeight="1" outlineLevel="1">
      <c r="A351" s="16"/>
      <c r="B351" s="20"/>
      <c r="C351" s="41"/>
      <c r="D351" s="20"/>
      <c r="E351" s="20"/>
      <c r="F351" s="21"/>
      <c r="G351" s="42"/>
      <c r="H351" s="42"/>
      <c r="I351" s="42"/>
      <c r="J351" s="20"/>
      <c r="K351" s="21"/>
      <c r="L351" s="21"/>
      <c r="M351" s="21"/>
      <c r="N351" s="21"/>
      <c r="O351" s="21"/>
      <c r="P351" s="21"/>
      <c r="Q351" s="21"/>
      <c r="R351" s="20"/>
      <c r="S351" s="22">
        <f t="shared" si="28"/>
        <v>0</v>
      </c>
      <c r="T351" s="22">
        <f>COUNTIF($V$4:V351,V351)</f>
        <v>80</v>
      </c>
      <c r="U351" s="22" t="str">
        <f>IF(T351=1,COUNTIF($T$4:T351,1),"")</f>
        <v/>
      </c>
      <c r="V351" s="23" t="str">
        <f t="shared" si="29"/>
        <v/>
      </c>
      <c r="W351" s="23">
        <f t="shared" si="30"/>
        <v>0</v>
      </c>
      <c r="X351" s="24"/>
      <c r="Y351" s="23"/>
      <c r="Z351" s="23"/>
      <c r="AA351" s="23"/>
      <c r="AB351" s="23"/>
      <c r="AC351" s="23"/>
      <c r="AD351" s="23"/>
      <c r="AE351" s="23"/>
      <c r="AF351" s="23"/>
      <c r="AG351" s="23"/>
    </row>
    <row r="352" spans="1:256" ht="11.25" customHeight="1" outlineLevel="1">
      <c r="A352" s="16"/>
      <c r="B352" s="20"/>
      <c r="C352" s="41"/>
      <c r="D352" s="20"/>
      <c r="E352" s="20"/>
      <c r="F352" s="21"/>
      <c r="G352" s="42"/>
      <c r="H352" s="42"/>
      <c r="I352" s="42"/>
      <c r="J352" s="20"/>
      <c r="K352" s="21"/>
      <c r="L352" s="21"/>
      <c r="M352" s="21"/>
      <c r="N352" s="21"/>
      <c r="O352" s="21"/>
      <c r="P352" s="21"/>
      <c r="Q352" s="21"/>
      <c r="R352" s="20"/>
      <c r="S352" s="22">
        <f t="shared" si="28"/>
        <v>0</v>
      </c>
      <c r="T352" s="22">
        <f>COUNTIF($V$4:V352,V352)</f>
        <v>81</v>
      </c>
      <c r="U352" s="22" t="str">
        <f>IF(T352=1,COUNTIF($T$4:T352,1),"")</f>
        <v/>
      </c>
      <c r="V352" s="23" t="str">
        <f t="shared" si="29"/>
        <v/>
      </c>
      <c r="W352" s="23">
        <f t="shared" si="30"/>
        <v>0</v>
      </c>
      <c r="X352" s="24"/>
      <c r="Y352" s="23"/>
    </row>
    <row r="353" spans="1:256" ht="11.25" customHeight="1" outlineLevel="1">
      <c r="A353" s="16"/>
      <c r="B353" s="20"/>
      <c r="C353" s="41"/>
      <c r="D353" s="20"/>
      <c r="E353" s="20"/>
      <c r="F353" s="21"/>
      <c r="G353" s="42"/>
      <c r="H353" s="42"/>
      <c r="I353" s="42"/>
      <c r="J353" s="20"/>
      <c r="K353" s="21"/>
      <c r="L353" s="21"/>
      <c r="M353" s="21"/>
      <c r="N353" s="21"/>
      <c r="O353" s="21"/>
      <c r="P353" s="21"/>
      <c r="Q353" s="21"/>
      <c r="R353" s="20"/>
      <c r="S353" s="22">
        <f t="shared" si="28"/>
        <v>0</v>
      </c>
      <c r="T353" s="22">
        <f>COUNTIF($V$4:V353,V353)</f>
        <v>82</v>
      </c>
      <c r="U353" s="22" t="str">
        <f>IF(T353=1,COUNTIF($T$4:T353,1),"")</f>
        <v/>
      </c>
      <c r="V353" s="23" t="str">
        <f t="shared" si="29"/>
        <v/>
      </c>
      <c r="W353" s="23">
        <f t="shared" si="30"/>
        <v>0</v>
      </c>
      <c r="X353" s="24"/>
      <c r="Y353" s="23"/>
    </row>
    <row r="354" spans="1:256" ht="11.25" customHeight="1" outlineLevel="1">
      <c r="A354" s="16"/>
      <c r="B354" s="20"/>
      <c r="C354" s="41"/>
      <c r="D354" s="20"/>
      <c r="E354" s="20"/>
      <c r="F354" s="21"/>
      <c r="G354" s="42"/>
      <c r="H354" s="42"/>
      <c r="I354" s="42"/>
      <c r="J354" s="20"/>
      <c r="K354" s="21"/>
      <c r="L354" s="21"/>
      <c r="M354" s="21"/>
      <c r="N354" s="21"/>
      <c r="O354" s="21"/>
      <c r="P354" s="21"/>
      <c r="Q354" s="21"/>
      <c r="R354" s="20"/>
      <c r="S354" s="22">
        <f t="shared" si="28"/>
        <v>0</v>
      </c>
      <c r="T354" s="22">
        <f>COUNTIF($V$4:V354,V354)</f>
        <v>83</v>
      </c>
      <c r="U354" s="22" t="str">
        <f>IF(T354=1,COUNTIF($T$4:T354,1),"")</f>
        <v/>
      </c>
      <c r="V354" s="23" t="str">
        <f t="shared" si="29"/>
        <v/>
      </c>
      <c r="W354" s="23">
        <f t="shared" si="30"/>
        <v>0</v>
      </c>
      <c r="X354" s="24"/>
      <c r="Y354" s="23"/>
    </row>
    <row r="355" spans="1:256" ht="11.25" customHeight="1" outlineLevel="1">
      <c r="A355" s="16"/>
      <c r="B355" s="20"/>
      <c r="C355" s="41"/>
      <c r="D355" s="20"/>
      <c r="E355" s="20"/>
      <c r="F355" s="21"/>
      <c r="G355" s="42"/>
      <c r="H355" s="42"/>
      <c r="I355" s="42"/>
      <c r="J355" s="20"/>
      <c r="K355" s="21"/>
      <c r="L355" s="21"/>
      <c r="M355" s="21"/>
      <c r="N355" s="21"/>
      <c r="O355" s="21"/>
      <c r="P355" s="21"/>
      <c r="Q355" s="21"/>
      <c r="R355" s="20"/>
      <c r="S355" s="22">
        <f t="shared" si="28"/>
        <v>0</v>
      </c>
      <c r="T355" s="22">
        <f>COUNTIF($V$4:V355,V355)</f>
        <v>84</v>
      </c>
      <c r="U355" s="22" t="str">
        <f>IF(T355=1,COUNTIF($T$4:T355,1),"")</f>
        <v/>
      </c>
      <c r="V355" s="23" t="str">
        <f t="shared" si="29"/>
        <v/>
      </c>
      <c r="W355" s="23">
        <f t="shared" si="30"/>
        <v>0</v>
      </c>
      <c r="X355" s="24"/>
      <c r="Y355" s="23"/>
    </row>
    <row r="356" spans="1:256" ht="11.25" customHeight="1" outlineLevel="1">
      <c r="A356" s="16"/>
      <c r="B356" s="20"/>
      <c r="C356" s="41"/>
      <c r="D356" s="20"/>
      <c r="E356" s="20"/>
      <c r="F356" s="21"/>
      <c r="G356" s="42"/>
      <c r="H356" s="42"/>
      <c r="I356" s="42"/>
      <c r="J356" s="20"/>
      <c r="K356" s="21"/>
      <c r="L356" s="21"/>
      <c r="M356" s="21"/>
      <c r="N356" s="21"/>
      <c r="O356" s="21"/>
      <c r="P356" s="21"/>
      <c r="Q356" s="21"/>
      <c r="R356" s="20"/>
      <c r="S356" s="22">
        <f t="shared" si="28"/>
        <v>0</v>
      </c>
      <c r="T356" s="22">
        <f>COUNTIF($V$4:V356,V356)</f>
        <v>85</v>
      </c>
      <c r="U356" s="22" t="str">
        <f>IF(T356=1,COUNTIF($T$4:T356,1),"")</f>
        <v/>
      </c>
      <c r="V356" s="23" t="str">
        <f t="shared" si="29"/>
        <v/>
      </c>
      <c r="W356" s="23">
        <f t="shared" si="30"/>
        <v>0</v>
      </c>
      <c r="X356" s="24"/>
      <c r="Y356" s="23"/>
    </row>
    <row r="357" spans="1:256" ht="11.25" customHeight="1" outlineLevel="1">
      <c r="A357" s="16"/>
      <c r="B357" s="20"/>
      <c r="C357" s="41"/>
      <c r="D357" s="20"/>
      <c r="E357" s="20"/>
      <c r="F357" s="43"/>
      <c r="G357" s="42"/>
      <c r="H357" s="42"/>
      <c r="I357" s="42"/>
      <c r="J357" s="20"/>
      <c r="K357" s="21"/>
      <c r="L357" s="21"/>
      <c r="M357" s="21"/>
      <c r="N357" s="21"/>
      <c r="O357" s="21"/>
      <c r="P357" s="21"/>
      <c r="Q357" s="21"/>
      <c r="R357" s="20"/>
      <c r="S357" s="22">
        <f t="shared" si="28"/>
        <v>0</v>
      </c>
      <c r="T357" s="22">
        <f>COUNTIF($V$4:V357,V357)</f>
        <v>86</v>
      </c>
      <c r="U357" s="22" t="str">
        <f>IF(T357=1,COUNTIF($T$4:T357,1),"")</f>
        <v/>
      </c>
      <c r="V357" s="23" t="str">
        <f t="shared" si="29"/>
        <v/>
      </c>
      <c r="W357" s="23">
        <f t="shared" si="30"/>
        <v>0</v>
      </c>
      <c r="X357" s="24"/>
      <c r="Y357" s="23"/>
    </row>
    <row r="358" spans="1:256" ht="11.25" customHeight="1" outlineLevel="1">
      <c r="A358" s="16"/>
      <c r="B358" s="20"/>
      <c r="C358" s="41"/>
      <c r="D358" s="20"/>
      <c r="E358" s="20"/>
      <c r="F358" s="43"/>
      <c r="G358" s="42"/>
      <c r="H358" s="42"/>
      <c r="I358" s="42"/>
      <c r="J358" s="20"/>
      <c r="K358" s="21"/>
      <c r="L358" s="21"/>
      <c r="M358" s="21"/>
      <c r="N358" s="21"/>
      <c r="O358" s="21"/>
      <c r="P358" s="21"/>
      <c r="Q358" s="21"/>
      <c r="R358" s="20"/>
      <c r="S358" s="22">
        <f t="shared" si="28"/>
        <v>0</v>
      </c>
      <c r="T358" s="22">
        <f>COUNTIF($V$4:V358,V358)</f>
        <v>87</v>
      </c>
      <c r="U358" s="22" t="str">
        <f>IF(T358=1,COUNTIF($T$4:T358,1),"")</f>
        <v/>
      </c>
      <c r="V358" s="23" t="str">
        <f t="shared" si="29"/>
        <v/>
      </c>
      <c r="W358" s="23">
        <f t="shared" si="30"/>
        <v>0</v>
      </c>
      <c r="X358" s="24"/>
      <c r="Y358" s="23"/>
    </row>
    <row r="359" spans="1:256" ht="11.25" customHeight="1" outlineLevel="1">
      <c r="A359" s="16"/>
      <c r="B359" s="20"/>
      <c r="C359" s="41"/>
      <c r="D359" s="20"/>
      <c r="E359" s="20"/>
      <c r="F359" s="43"/>
      <c r="G359" s="42"/>
      <c r="H359" s="42"/>
      <c r="I359" s="42"/>
      <c r="J359" s="20"/>
      <c r="K359" s="21"/>
      <c r="L359" s="21"/>
      <c r="M359" s="21"/>
      <c r="N359" s="21"/>
      <c r="O359" s="21"/>
      <c r="P359" s="21"/>
      <c r="Q359" s="21"/>
      <c r="R359" s="20"/>
      <c r="S359" s="22">
        <f t="shared" si="28"/>
        <v>0</v>
      </c>
      <c r="T359" s="22">
        <f>COUNTIF($V$4:V359,V359)</f>
        <v>88</v>
      </c>
      <c r="U359" s="22" t="str">
        <f>IF(T359=1,COUNTIF($T$4:T359,1),"")</f>
        <v/>
      </c>
      <c r="V359" s="23" t="str">
        <f t="shared" si="29"/>
        <v/>
      </c>
      <c r="W359" s="23">
        <f t="shared" si="30"/>
        <v>0</v>
      </c>
      <c r="X359" s="24"/>
      <c r="Y359" s="23"/>
    </row>
    <row r="360" spans="1:256" ht="11.25" customHeight="1" outlineLevel="1">
      <c r="A360" s="16"/>
      <c r="B360" s="20"/>
      <c r="C360" s="41"/>
      <c r="D360" s="20"/>
      <c r="E360" s="20"/>
      <c r="F360" s="43"/>
      <c r="G360" s="42"/>
      <c r="H360" s="42"/>
      <c r="I360" s="42"/>
      <c r="J360" s="20"/>
      <c r="K360" s="21"/>
      <c r="L360" s="21"/>
      <c r="M360" s="21"/>
      <c r="N360" s="21"/>
      <c r="O360" s="21"/>
      <c r="P360" s="21"/>
      <c r="Q360" s="21"/>
      <c r="R360" s="20"/>
      <c r="S360" s="22">
        <f t="shared" si="28"/>
        <v>0</v>
      </c>
      <c r="T360" s="22">
        <f>COUNTIF($V$4:V360,V360)</f>
        <v>89</v>
      </c>
      <c r="U360" s="22" t="str">
        <f>IF(T360=1,COUNTIF($T$4:T360,1),"")</f>
        <v/>
      </c>
      <c r="V360" s="23" t="str">
        <f t="shared" si="29"/>
        <v/>
      </c>
      <c r="W360" s="23">
        <f t="shared" si="30"/>
        <v>0</v>
      </c>
      <c r="X360" s="24"/>
      <c r="Y360" s="23"/>
    </row>
    <row r="361" spans="1:256" ht="11.25" customHeight="1" outlineLevel="1">
      <c r="A361" s="16"/>
      <c r="B361" s="20"/>
      <c r="C361" s="41"/>
      <c r="D361" s="20"/>
      <c r="E361" s="20"/>
      <c r="F361" s="21"/>
      <c r="G361" s="42"/>
      <c r="H361" s="42"/>
      <c r="I361" s="42"/>
      <c r="J361" s="20"/>
      <c r="K361" s="21"/>
      <c r="L361" s="21"/>
      <c r="M361" s="21"/>
      <c r="N361" s="21"/>
      <c r="O361" s="21"/>
      <c r="P361" s="21"/>
      <c r="Q361" s="21"/>
      <c r="R361" s="20"/>
      <c r="S361" s="22">
        <f t="shared" si="28"/>
        <v>0</v>
      </c>
      <c r="T361" s="22">
        <f>COUNTIF($V$4:V361,V361)</f>
        <v>90</v>
      </c>
      <c r="U361" s="22" t="str">
        <f>IF(T361=1,COUNTIF($T$4:T361,1),"")</f>
        <v/>
      </c>
      <c r="V361" s="23" t="str">
        <f t="shared" si="29"/>
        <v/>
      </c>
      <c r="W361" s="23">
        <f t="shared" si="30"/>
        <v>0</v>
      </c>
      <c r="X361" s="24"/>
      <c r="Y361" s="23"/>
    </row>
    <row r="362" spans="1:256" ht="11.25" customHeight="1" outlineLevel="1">
      <c r="A362" s="16"/>
      <c r="B362" s="20"/>
      <c r="C362" s="20"/>
      <c r="D362" s="20"/>
      <c r="E362" s="20"/>
      <c r="F362" s="21"/>
      <c r="G362" s="21"/>
      <c r="H362" s="21"/>
      <c r="I362" s="21"/>
      <c r="J362" s="21"/>
      <c r="K362" s="21"/>
      <c r="L362" s="21"/>
      <c r="M362" s="21"/>
      <c r="N362" s="21"/>
      <c r="O362" s="21"/>
      <c r="P362" s="21"/>
      <c r="Q362" s="21"/>
      <c r="R362" s="20"/>
      <c r="S362" s="22">
        <f t="shared" si="28"/>
        <v>0</v>
      </c>
      <c r="T362" s="22">
        <f>COUNTIF($V$4:V362,V362)</f>
        <v>91</v>
      </c>
      <c r="U362" s="22" t="str">
        <f>IF(T362=1,COUNTIF($T$4:T362,1),"")</f>
        <v/>
      </c>
      <c r="V362" s="23" t="str">
        <f t="shared" si="29"/>
        <v/>
      </c>
      <c r="W362" s="23">
        <f t="shared" si="30"/>
        <v>0</v>
      </c>
      <c r="X362" s="24"/>
      <c r="Y362" s="23"/>
    </row>
    <row r="363" spans="1:256" ht="11.25" customHeight="1" outlineLevel="1">
      <c r="A363" s="16"/>
      <c r="B363" s="20"/>
      <c r="C363" s="20"/>
      <c r="D363" s="20"/>
      <c r="E363" s="20"/>
      <c r="F363" s="21"/>
      <c r="G363" s="21"/>
      <c r="H363" s="21"/>
      <c r="I363" s="21"/>
      <c r="J363" s="21"/>
      <c r="K363" s="21"/>
      <c r="L363" s="21"/>
      <c r="M363" s="21"/>
      <c r="N363" s="21"/>
      <c r="O363" s="21"/>
      <c r="P363" s="21"/>
      <c r="Q363" s="21"/>
      <c r="R363" s="20"/>
      <c r="S363" s="22">
        <f t="shared" si="28"/>
        <v>0</v>
      </c>
      <c r="T363" s="22">
        <f>COUNTIF($V$4:V363,V363)</f>
        <v>92</v>
      </c>
      <c r="U363" s="22" t="str">
        <f>IF(T363=1,COUNTIF($T$4:T363,1),"")</f>
        <v/>
      </c>
      <c r="V363" s="23" t="str">
        <f t="shared" si="29"/>
        <v/>
      </c>
      <c r="W363" s="23">
        <f t="shared" si="30"/>
        <v>0</v>
      </c>
      <c r="X363" s="24"/>
      <c r="Y363" s="23"/>
    </row>
    <row r="364" spans="1:256" ht="11.25" customHeight="1" outlineLevel="1">
      <c r="A364" s="16"/>
      <c r="B364" s="20"/>
      <c r="C364" s="20"/>
      <c r="D364" s="20"/>
      <c r="E364" s="20"/>
      <c r="F364" s="21"/>
      <c r="G364" s="21"/>
      <c r="H364" s="21"/>
      <c r="I364" s="21"/>
      <c r="J364" s="21"/>
      <c r="K364" s="21"/>
      <c r="L364" s="21"/>
      <c r="M364" s="21"/>
      <c r="N364" s="21"/>
      <c r="O364" s="21"/>
      <c r="P364" s="21"/>
      <c r="Q364" s="21"/>
      <c r="R364" s="20"/>
      <c r="S364" s="22">
        <f t="shared" si="28"/>
        <v>0</v>
      </c>
      <c r="T364" s="22">
        <f>COUNTIF($V$4:V364,V364)</f>
        <v>93</v>
      </c>
      <c r="U364" s="22" t="str">
        <f>IF(T364=1,COUNTIF($T$4:T364,1),"")</f>
        <v/>
      </c>
      <c r="V364" s="23" t="str">
        <f t="shared" si="29"/>
        <v/>
      </c>
      <c r="W364" s="23">
        <f t="shared" si="30"/>
        <v>0</v>
      </c>
      <c r="X364" s="24"/>
      <c r="Y364" s="23"/>
    </row>
    <row r="365" spans="1:256" s="23" customFormat="1" ht="11.25" customHeight="1" outlineLevel="1">
      <c r="A365" s="16"/>
      <c r="B365" s="20"/>
      <c r="C365" s="20"/>
      <c r="D365" s="20"/>
      <c r="E365" s="20"/>
      <c r="F365" s="21"/>
      <c r="G365" s="21"/>
      <c r="H365" s="21"/>
      <c r="I365" s="21"/>
      <c r="J365" s="21"/>
      <c r="K365" s="21"/>
      <c r="L365" s="21"/>
      <c r="M365" s="21"/>
      <c r="N365" s="21"/>
      <c r="O365" s="21"/>
      <c r="P365" s="21"/>
      <c r="Q365" s="21"/>
      <c r="R365" s="20"/>
      <c r="S365" s="22">
        <f t="shared" si="28"/>
        <v>0</v>
      </c>
      <c r="T365" s="22">
        <f>COUNTIF($V$4:V365,V365)</f>
        <v>94</v>
      </c>
      <c r="U365" s="22" t="str">
        <f>IF(T365=1,COUNTIF($T$4:T365,1),"")</f>
        <v/>
      </c>
      <c r="V365" s="23" t="str">
        <f t="shared" si="29"/>
        <v/>
      </c>
      <c r="W365" s="23">
        <f t="shared" si="30"/>
        <v>0</v>
      </c>
      <c r="X365" s="24"/>
      <c r="Z365" s="9"/>
      <c r="AA365" s="9"/>
      <c r="AB365" s="9"/>
      <c r="AC365" s="9"/>
      <c r="AD365" s="9"/>
      <c r="AE365" s="9"/>
      <c r="AF365" s="9"/>
      <c r="AG365" s="9"/>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row>
    <row r="366" spans="1:256" ht="11.25" customHeight="1" outlineLevel="1">
      <c r="A366" s="16"/>
      <c r="B366" s="20"/>
      <c r="C366" s="20"/>
      <c r="D366" s="20"/>
      <c r="E366" s="20"/>
      <c r="F366" s="21"/>
      <c r="G366" s="21"/>
      <c r="H366" s="21"/>
      <c r="I366" s="21"/>
      <c r="J366" s="21"/>
      <c r="K366" s="21"/>
      <c r="L366" s="21"/>
      <c r="M366" s="21"/>
      <c r="N366" s="21"/>
      <c r="O366" s="21"/>
      <c r="P366" s="21"/>
      <c r="Q366" s="21"/>
      <c r="R366" s="20"/>
      <c r="S366" s="22">
        <f t="shared" si="28"/>
        <v>0</v>
      </c>
      <c r="T366" s="22">
        <f>COUNTIF($V$4:V366,V366)</f>
        <v>95</v>
      </c>
      <c r="U366" s="22" t="str">
        <f>IF(T366=1,COUNTIF($T$4:T366,1),"")</f>
        <v/>
      </c>
      <c r="V366" s="23" t="str">
        <f t="shared" si="29"/>
        <v/>
      </c>
      <c r="W366" s="23">
        <f t="shared" si="30"/>
        <v>0</v>
      </c>
      <c r="X366" s="24"/>
      <c r="Y366" s="23"/>
      <c r="Z366" s="23"/>
      <c r="AA366" s="23"/>
      <c r="AB366" s="23"/>
      <c r="AC366" s="23"/>
      <c r="AD366" s="23"/>
      <c r="AE366" s="23"/>
      <c r="AF366" s="23"/>
      <c r="AG366" s="23"/>
    </row>
    <row r="367" spans="1:256" ht="11.25" customHeight="1" outlineLevel="1">
      <c r="A367" s="16"/>
      <c r="B367" s="20"/>
      <c r="C367" s="20"/>
      <c r="D367" s="20"/>
      <c r="E367" s="20"/>
      <c r="F367" s="21"/>
      <c r="G367" s="21"/>
      <c r="H367" s="21"/>
      <c r="I367" s="21"/>
      <c r="J367" s="21"/>
      <c r="K367" s="21"/>
      <c r="L367" s="21"/>
      <c r="M367" s="21"/>
      <c r="N367" s="21"/>
      <c r="O367" s="21"/>
      <c r="P367" s="21"/>
      <c r="Q367" s="21"/>
      <c r="R367" s="20"/>
      <c r="S367" s="22">
        <f t="shared" si="28"/>
        <v>0</v>
      </c>
      <c r="T367" s="22">
        <f>COUNTIF($V$4:V367,V367)</f>
        <v>96</v>
      </c>
      <c r="U367" s="22" t="str">
        <f>IF(T367=1,COUNTIF($T$4:T367,1),"")</f>
        <v/>
      </c>
      <c r="V367" s="23" t="str">
        <f t="shared" si="29"/>
        <v/>
      </c>
      <c r="W367" s="23">
        <f t="shared" si="30"/>
        <v>0</v>
      </c>
      <c r="X367" s="24"/>
      <c r="Y367" s="23"/>
    </row>
    <row r="368" spans="1:256" ht="11.25" customHeight="1" outlineLevel="1">
      <c r="A368" s="16"/>
      <c r="B368" s="20"/>
      <c r="C368" s="20"/>
      <c r="D368" s="20"/>
      <c r="E368" s="20"/>
      <c r="F368" s="21"/>
      <c r="G368" s="21"/>
      <c r="H368" s="21"/>
      <c r="I368" s="21"/>
      <c r="J368" s="21"/>
      <c r="K368" s="21"/>
      <c r="L368" s="21"/>
      <c r="M368" s="21"/>
      <c r="N368" s="21"/>
      <c r="O368" s="21"/>
      <c r="P368" s="21"/>
      <c r="Q368" s="21"/>
      <c r="R368" s="20"/>
      <c r="S368" s="22">
        <f t="shared" si="28"/>
        <v>0</v>
      </c>
      <c r="T368" s="22">
        <f>COUNTIF($V$4:V368,V368)</f>
        <v>97</v>
      </c>
      <c r="U368" s="22" t="str">
        <f>IF(T368=1,COUNTIF($T$4:T368,1),"")</f>
        <v/>
      </c>
      <c r="V368" s="23" t="str">
        <f t="shared" si="29"/>
        <v/>
      </c>
      <c r="W368" s="23">
        <f t="shared" si="30"/>
        <v>0</v>
      </c>
      <c r="X368" s="24"/>
      <c r="Y368" s="23"/>
    </row>
    <row r="369" spans="1:25" ht="11.25" customHeight="1" outlineLevel="1">
      <c r="A369" s="16"/>
      <c r="B369" s="20"/>
      <c r="C369" s="41"/>
      <c r="D369" s="20"/>
      <c r="E369" s="20"/>
      <c r="F369" s="21"/>
      <c r="G369" s="42"/>
      <c r="H369" s="42"/>
      <c r="I369" s="42"/>
      <c r="J369" s="20"/>
      <c r="K369" s="21"/>
      <c r="L369" s="21"/>
      <c r="M369" s="21"/>
      <c r="N369" s="21"/>
      <c r="O369" s="21"/>
      <c r="P369" s="21"/>
      <c r="Q369" s="21"/>
      <c r="R369" s="20"/>
      <c r="S369" s="22">
        <f t="shared" si="28"/>
        <v>0</v>
      </c>
      <c r="T369" s="22">
        <f>COUNTIF($V$4:V369,V369)</f>
        <v>98</v>
      </c>
      <c r="U369" s="22" t="str">
        <f>IF(T369=1,COUNTIF($T$4:T369,1),"")</f>
        <v/>
      </c>
      <c r="V369" s="23" t="str">
        <f t="shared" si="29"/>
        <v/>
      </c>
      <c r="W369" s="23">
        <f t="shared" si="30"/>
        <v>0</v>
      </c>
      <c r="X369" s="24"/>
      <c r="Y369" s="23"/>
    </row>
    <row r="370" spans="1:25" ht="11.25" customHeight="1" outlineLevel="1">
      <c r="A370" s="16"/>
      <c r="B370" s="20"/>
      <c r="C370" s="41"/>
      <c r="D370" s="20"/>
      <c r="E370" s="20"/>
      <c r="F370" s="21"/>
      <c r="G370" s="42"/>
      <c r="H370" s="42"/>
      <c r="I370" s="42"/>
      <c r="J370" s="20"/>
      <c r="K370" s="21"/>
      <c r="L370" s="21"/>
      <c r="M370" s="21"/>
      <c r="N370" s="21"/>
      <c r="O370" s="21"/>
      <c r="P370" s="21"/>
      <c r="Q370" s="21"/>
      <c r="R370" s="20"/>
      <c r="S370" s="22">
        <f t="shared" si="28"/>
        <v>0</v>
      </c>
      <c r="T370" s="22">
        <f>COUNTIF($V$4:V370,V370)</f>
        <v>99</v>
      </c>
      <c r="U370" s="22" t="str">
        <f>IF(T370=1,COUNTIF($T$4:T370,1),"")</f>
        <v/>
      </c>
      <c r="V370" s="23" t="str">
        <f t="shared" si="29"/>
        <v/>
      </c>
      <c r="W370" s="23">
        <f t="shared" si="30"/>
        <v>0</v>
      </c>
      <c r="X370" s="24"/>
      <c r="Y370" s="23"/>
    </row>
    <row r="371" spans="1:25" ht="11.25" customHeight="1" outlineLevel="1">
      <c r="A371" s="16"/>
      <c r="B371" s="20"/>
      <c r="C371" s="41"/>
      <c r="D371" s="20"/>
      <c r="E371" s="20"/>
      <c r="F371" s="21"/>
      <c r="G371" s="42"/>
      <c r="H371" s="42"/>
      <c r="I371" s="42"/>
      <c r="J371" s="20"/>
      <c r="K371" s="21"/>
      <c r="L371" s="21"/>
      <c r="M371" s="21"/>
      <c r="N371" s="21"/>
      <c r="O371" s="21"/>
      <c r="P371" s="21"/>
      <c r="Q371" s="21"/>
      <c r="R371" s="20"/>
      <c r="S371" s="22">
        <f t="shared" si="28"/>
        <v>0</v>
      </c>
      <c r="T371" s="22">
        <f>COUNTIF($V$4:V371,V371)</f>
        <v>100</v>
      </c>
      <c r="U371" s="22" t="str">
        <f>IF(T371=1,COUNTIF($T$4:T371,1),"")</f>
        <v/>
      </c>
      <c r="V371" s="23" t="str">
        <f t="shared" si="29"/>
        <v/>
      </c>
      <c r="W371" s="23">
        <f t="shared" si="30"/>
        <v>0</v>
      </c>
      <c r="X371" s="24"/>
      <c r="Y371" s="23"/>
    </row>
    <row r="372" spans="1:25" ht="11.25" customHeight="1" outlineLevel="1">
      <c r="A372" s="16"/>
      <c r="B372" s="20"/>
      <c r="C372" s="41"/>
      <c r="D372" s="20"/>
      <c r="E372" s="20"/>
      <c r="F372" s="21"/>
      <c r="G372" s="42"/>
      <c r="H372" s="42"/>
      <c r="I372" s="42"/>
      <c r="J372" s="20"/>
      <c r="K372" s="21"/>
      <c r="L372" s="21"/>
      <c r="M372" s="21"/>
      <c r="N372" s="21"/>
      <c r="O372" s="21"/>
      <c r="P372" s="21"/>
      <c r="Q372" s="21"/>
      <c r="R372" s="20"/>
      <c r="S372" s="22">
        <f t="shared" si="28"/>
        <v>0</v>
      </c>
      <c r="T372" s="22">
        <f>COUNTIF($V$4:V372,V372)</f>
        <v>101</v>
      </c>
      <c r="U372" s="22" t="str">
        <f>IF(T372=1,COUNTIF($T$4:T372,1),"")</f>
        <v/>
      </c>
      <c r="V372" s="23" t="str">
        <f t="shared" si="29"/>
        <v/>
      </c>
      <c r="W372" s="23">
        <f t="shared" si="30"/>
        <v>0</v>
      </c>
      <c r="X372" s="24"/>
      <c r="Y372" s="23"/>
    </row>
    <row r="373" spans="1:25" ht="11.25" customHeight="1" outlineLevel="1">
      <c r="A373" s="16"/>
      <c r="B373" s="20"/>
      <c r="C373" s="41"/>
      <c r="D373" s="20"/>
      <c r="E373" s="20"/>
      <c r="F373" s="21"/>
      <c r="G373" s="42"/>
      <c r="H373" s="42"/>
      <c r="I373" s="42"/>
      <c r="J373" s="20"/>
      <c r="K373" s="21"/>
      <c r="L373" s="21"/>
      <c r="M373" s="21"/>
      <c r="N373" s="21"/>
      <c r="O373" s="21"/>
      <c r="P373" s="21"/>
      <c r="Q373" s="21"/>
      <c r="R373" s="20"/>
      <c r="S373" s="22">
        <f t="shared" si="28"/>
        <v>0</v>
      </c>
      <c r="T373" s="22">
        <f>COUNTIF($V$4:V373,V373)</f>
        <v>102</v>
      </c>
      <c r="U373" s="22" t="str">
        <f>IF(T373=1,COUNTIF($T$4:T373,1),"")</f>
        <v/>
      </c>
      <c r="V373" s="23" t="str">
        <f t="shared" si="29"/>
        <v/>
      </c>
      <c r="W373" s="23">
        <f t="shared" si="30"/>
        <v>0</v>
      </c>
      <c r="X373" s="24"/>
      <c r="Y373" s="23"/>
    </row>
    <row r="374" spans="1:25" ht="11.25" customHeight="1" outlineLevel="1">
      <c r="A374" s="16"/>
      <c r="B374" s="20"/>
      <c r="C374" s="41"/>
      <c r="D374" s="20"/>
      <c r="E374" s="20"/>
      <c r="F374" s="21"/>
      <c r="G374" s="42"/>
      <c r="H374" s="42"/>
      <c r="I374" s="42"/>
      <c r="J374" s="20"/>
      <c r="K374" s="21"/>
      <c r="L374" s="21"/>
      <c r="M374" s="21"/>
      <c r="N374" s="21"/>
      <c r="O374" s="21"/>
      <c r="P374" s="21"/>
      <c r="Q374" s="21"/>
      <c r="R374" s="20"/>
      <c r="S374" s="22">
        <f t="shared" si="28"/>
        <v>0</v>
      </c>
      <c r="T374" s="22">
        <f>COUNTIF($V$4:V374,V374)</f>
        <v>103</v>
      </c>
      <c r="U374" s="22" t="str">
        <f>IF(T374=1,COUNTIF($T$4:T374,1),"")</f>
        <v/>
      </c>
      <c r="V374" s="23" t="str">
        <f t="shared" si="29"/>
        <v/>
      </c>
      <c r="W374" s="23">
        <f t="shared" si="30"/>
        <v>0</v>
      </c>
      <c r="X374" s="24"/>
      <c r="Y374" s="23"/>
    </row>
    <row r="375" spans="1:25" ht="11.25" customHeight="1" outlineLevel="1">
      <c r="A375" s="16"/>
      <c r="B375" s="20"/>
      <c r="C375" s="41"/>
      <c r="D375" s="20"/>
      <c r="E375" s="20"/>
      <c r="F375" s="21"/>
      <c r="G375" s="42"/>
      <c r="H375" s="42"/>
      <c r="I375" s="42"/>
      <c r="J375" s="20"/>
      <c r="K375" s="21"/>
      <c r="L375" s="21"/>
      <c r="M375" s="21"/>
      <c r="N375" s="21"/>
      <c r="O375" s="21"/>
      <c r="P375" s="21"/>
      <c r="Q375" s="21"/>
      <c r="R375" s="20"/>
      <c r="S375" s="22">
        <f t="shared" si="28"/>
        <v>0</v>
      </c>
      <c r="T375" s="22">
        <f>COUNTIF($V$4:V375,V375)</f>
        <v>104</v>
      </c>
      <c r="U375" s="22" t="str">
        <f>IF(T375=1,COUNTIF($T$4:T375,1),"")</f>
        <v/>
      </c>
      <c r="V375" s="23" t="str">
        <f t="shared" si="29"/>
        <v/>
      </c>
      <c r="W375" s="23">
        <f t="shared" si="30"/>
        <v>0</v>
      </c>
      <c r="X375" s="24"/>
      <c r="Y375" s="23"/>
    </row>
    <row r="376" spans="1:25" ht="11.25" customHeight="1" outlineLevel="1">
      <c r="A376" s="16"/>
      <c r="B376" s="20"/>
      <c r="C376" s="41"/>
      <c r="D376" s="20"/>
      <c r="E376" s="20"/>
      <c r="F376" s="21"/>
      <c r="G376" s="42"/>
      <c r="H376" s="42"/>
      <c r="I376" s="42"/>
      <c r="J376" s="20"/>
      <c r="K376" s="21"/>
      <c r="L376" s="21"/>
      <c r="M376" s="21"/>
      <c r="N376" s="21"/>
      <c r="O376" s="21"/>
      <c r="P376" s="21"/>
      <c r="Q376" s="21"/>
      <c r="R376" s="20"/>
      <c r="S376" s="22">
        <f t="shared" si="28"/>
        <v>0</v>
      </c>
      <c r="T376" s="22">
        <f>COUNTIF($V$4:V376,V376)</f>
        <v>105</v>
      </c>
      <c r="U376" s="22" t="str">
        <f>IF(T376=1,COUNTIF($T$4:T376,1),"")</f>
        <v/>
      </c>
      <c r="V376" s="23" t="str">
        <f t="shared" si="29"/>
        <v/>
      </c>
      <c r="W376" s="23">
        <f t="shared" si="30"/>
        <v>0</v>
      </c>
      <c r="X376" s="24"/>
      <c r="Y376" s="23"/>
    </row>
    <row r="377" spans="1:25" ht="11.25" customHeight="1" outlineLevel="1">
      <c r="A377" s="16"/>
      <c r="B377" s="20"/>
      <c r="C377" s="41"/>
      <c r="D377" s="20"/>
      <c r="E377" s="20"/>
      <c r="F377" s="21"/>
      <c r="G377" s="42"/>
      <c r="H377" s="42"/>
      <c r="I377" s="42"/>
      <c r="J377" s="20"/>
      <c r="K377" s="21"/>
      <c r="L377" s="21"/>
      <c r="M377" s="21"/>
      <c r="N377" s="21"/>
      <c r="O377" s="21"/>
      <c r="P377" s="21"/>
      <c r="Q377" s="21"/>
      <c r="R377" s="20"/>
      <c r="S377" s="22">
        <f t="shared" si="28"/>
        <v>0</v>
      </c>
      <c r="T377" s="22">
        <f>COUNTIF($V$4:V377,V377)</f>
        <v>106</v>
      </c>
      <c r="U377" s="22" t="str">
        <f>IF(T377=1,COUNTIF($T$4:T377,1),"")</f>
        <v/>
      </c>
      <c r="V377" s="23" t="str">
        <f t="shared" si="29"/>
        <v/>
      </c>
      <c r="W377" s="23">
        <f t="shared" si="30"/>
        <v>0</v>
      </c>
      <c r="X377" s="24"/>
      <c r="Y377" s="23"/>
    </row>
    <row r="378" spans="1:25" ht="11.25" customHeight="1" outlineLevel="1">
      <c r="A378" s="16"/>
      <c r="B378" s="20"/>
      <c r="C378" s="41"/>
      <c r="D378" s="20"/>
      <c r="E378" s="20"/>
      <c r="F378" s="21"/>
      <c r="G378" s="42"/>
      <c r="H378" s="42"/>
      <c r="I378" s="42"/>
      <c r="J378" s="20"/>
      <c r="K378" s="21"/>
      <c r="L378" s="21"/>
      <c r="M378" s="21"/>
      <c r="N378" s="21"/>
      <c r="O378" s="21"/>
      <c r="P378" s="21"/>
      <c r="Q378" s="21"/>
      <c r="R378" s="20"/>
      <c r="S378" s="22">
        <f t="shared" si="28"/>
        <v>0</v>
      </c>
      <c r="T378" s="22">
        <f>COUNTIF($V$4:V378,V378)</f>
        <v>107</v>
      </c>
      <c r="U378" s="22" t="str">
        <f>IF(T378=1,COUNTIF($T$4:T378,1),"")</f>
        <v/>
      </c>
      <c r="V378" s="23" t="str">
        <f t="shared" si="29"/>
        <v/>
      </c>
      <c r="W378" s="23">
        <f t="shared" si="30"/>
        <v>0</v>
      </c>
      <c r="X378" s="24"/>
      <c r="Y378" s="23"/>
    </row>
    <row r="379" spans="1:25" ht="11.25" customHeight="1" outlineLevel="1">
      <c r="A379" s="16"/>
      <c r="B379" s="20"/>
      <c r="C379" s="41"/>
      <c r="D379" s="20"/>
      <c r="E379" s="20"/>
      <c r="F379" s="21"/>
      <c r="G379" s="42"/>
      <c r="H379" s="42"/>
      <c r="I379" s="42"/>
      <c r="J379" s="20"/>
      <c r="K379" s="21"/>
      <c r="L379" s="21"/>
      <c r="M379" s="21"/>
      <c r="N379" s="21"/>
      <c r="O379" s="21"/>
      <c r="P379" s="21"/>
      <c r="Q379" s="21"/>
      <c r="R379" s="20"/>
      <c r="S379" s="22">
        <f t="shared" si="28"/>
        <v>0</v>
      </c>
      <c r="T379" s="22">
        <f>COUNTIF($V$4:V379,V379)</f>
        <v>108</v>
      </c>
      <c r="U379" s="22" t="str">
        <f>IF(T379=1,COUNTIF($T$4:T379,1),"")</f>
        <v/>
      </c>
      <c r="V379" s="23" t="str">
        <f t="shared" si="29"/>
        <v/>
      </c>
      <c r="W379" s="23">
        <f t="shared" si="30"/>
        <v>0</v>
      </c>
      <c r="X379" s="24"/>
      <c r="Y379" s="23"/>
    </row>
    <row r="380" spans="1:25" ht="11.25" customHeight="1" outlineLevel="1">
      <c r="A380" s="16"/>
      <c r="B380" s="20"/>
      <c r="C380" s="41"/>
      <c r="D380" s="20"/>
      <c r="E380" s="20"/>
      <c r="F380" s="21"/>
      <c r="G380" s="42"/>
      <c r="H380" s="42"/>
      <c r="I380" s="42"/>
      <c r="J380" s="20"/>
      <c r="K380" s="21"/>
      <c r="L380" s="21"/>
      <c r="M380" s="21"/>
      <c r="N380" s="21"/>
      <c r="O380" s="21"/>
      <c r="P380" s="21"/>
      <c r="Q380" s="21"/>
      <c r="R380" s="20"/>
      <c r="S380" s="22">
        <f t="shared" si="28"/>
        <v>0</v>
      </c>
      <c r="T380" s="22">
        <f>COUNTIF($V$4:V380,V380)</f>
        <v>109</v>
      </c>
      <c r="U380" s="22" t="str">
        <f>IF(T380=1,COUNTIF($T$4:T380,1),"")</f>
        <v/>
      </c>
      <c r="V380" s="23" t="str">
        <f t="shared" si="29"/>
        <v/>
      </c>
      <c r="W380" s="23">
        <f t="shared" si="30"/>
        <v>0</v>
      </c>
      <c r="X380" s="24"/>
      <c r="Y380" s="23"/>
    </row>
    <row r="381" spans="1:25" ht="11.25" customHeight="1" outlineLevel="1">
      <c r="A381" s="16"/>
      <c r="B381" s="20"/>
      <c r="C381" s="41"/>
      <c r="D381" s="20"/>
      <c r="E381" s="20"/>
      <c r="F381" s="21"/>
      <c r="G381" s="42"/>
      <c r="H381" s="42"/>
      <c r="I381" s="42"/>
      <c r="J381" s="20"/>
      <c r="K381" s="21"/>
      <c r="L381" s="21"/>
      <c r="M381" s="21"/>
      <c r="N381" s="21"/>
      <c r="O381" s="21"/>
      <c r="P381" s="21"/>
      <c r="Q381" s="21"/>
      <c r="R381" s="20"/>
      <c r="S381" s="22">
        <f t="shared" si="28"/>
        <v>0</v>
      </c>
      <c r="T381" s="22">
        <f>COUNTIF($V$4:V381,V381)</f>
        <v>110</v>
      </c>
      <c r="U381" s="22" t="str">
        <f>IF(T381=1,COUNTIF($T$4:T381,1),"")</f>
        <v/>
      </c>
      <c r="V381" s="23" t="str">
        <f t="shared" si="29"/>
        <v/>
      </c>
      <c r="W381" s="23">
        <f t="shared" si="30"/>
        <v>0</v>
      </c>
      <c r="X381" s="24"/>
      <c r="Y381" s="23"/>
    </row>
    <row r="382" spans="1:25" ht="11.25" customHeight="1" outlineLevel="1">
      <c r="A382" s="16"/>
      <c r="B382" s="20"/>
      <c r="C382" s="41"/>
      <c r="D382" s="20"/>
      <c r="E382" s="20"/>
      <c r="F382" s="21"/>
      <c r="G382" s="42"/>
      <c r="H382" s="42"/>
      <c r="I382" s="42"/>
      <c r="J382" s="20"/>
      <c r="K382" s="21"/>
      <c r="L382" s="21"/>
      <c r="M382" s="21"/>
      <c r="N382" s="21"/>
      <c r="O382" s="21"/>
      <c r="P382" s="21"/>
      <c r="Q382" s="21"/>
      <c r="R382" s="20"/>
      <c r="S382" s="22">
        <f t="shared" si="28"/>
        <v>0</v>
      </c>
      <c r="T382" s="22">
        <f>COUNTIF($V$4:V382,V382)</f>
        <v>111</v>
      </c>
      <c r="U382" s="22" t="str">
        <f>IF(T382=1,COUNTIF($T$4:T382,1),"")</f>
        <v/>
      </c>
      <c r="V382" s="23" t="str">
        <f t="shared" si="29"/>
        <v/>
      </c>
      <c r="W382" s="23">
        <f t="shared" si="30"/>
        <v>0</v>
      </c>
      <c r="X382" s="24"/>
      <c r="Y382" s="23"/>
    </row>
    <row r="383" spans="1:25" ht="11.25" customHeight="1" outlineLevel="1">
      <c r="A383" s="16"/>
      <c r="B383" s="20"/>
      <c r="C383" s="41"/>
      <c r="D383" s="20"/>
      <c r="E383" s="20"/>
      <c r="F383" s="21"/>
      <c r="G383" s="42"/>
      <c r="H383" s="42"/>
      <c r="I383" s="42"/>
      <c r="J383" s="20"/>
      <c r="K383" s="21"/>
      <c r="L383" s="21"/>
      <c r="M383" s="21"/>
      <c r="N383" s="21"/>
      <c r="O383" s="21"/>
      <c r="P383" s="21"/>
      <c r="Q383" s="21"/>
      <c r="R383" s="20"/>
      <c r="S383" s="22">
        <f t="shared" si="28"/>
        <v>0</v>
      </c>
      <c r="T383" s="22">
        <f>COUNTIF($V$4:V383,V383)</f>
        <v>112</v>
      </c>
      <c r="U383" s="22" t="str">
        <f>IF(T383=1,COUNTIF($T$4:T383,1),"")</f>
        <v/>
      </c>
      <c r="V383" s="23" t="str">
        <f t="shared" si="29"/>
        <v/>
      </c>
      <c r="W383" s="23">
        <f t="shared" si="30"/>
        <v>0</v>
      </c>
      <c r="X383" s="24"/>
      <c r="Y383" s="23"/>
    </row>
    <row r="384" spans="1:25" outlineLevel="1">
      <c r="A384" s="16"/>
      <c r="B384" s="20"/>
      <c r="C384" s="41"/>
      <c r="D384" s="20"/>
      <c r="E384" s="20"/>
      <c r="F384" s="21"/>
      <c r="G384" s="42"/>
      <c r="H384" s="42"/>
      <c r="I384" s="42"/>
      <c r="J384" s="20"/>
      <c r="K384" s="21"/>
      <c r="L384" s="21"/>
      <c r="M384" s="21"/>
      <c r="N384" s="21"/>
      <c r="O384" s="21"/>
      <c r="P384" s="21"/>
      <c r="Q384" s="21"/>
      <c r="R384" s="20"/>
      <c r="S384" s="22">
        <f t="shared" si="28"/>
        <v>0</v>
      </c>
      <c r="T384" s="22">
        <f>COUNTIF($V$4:V384,V384)</f>
        <v>113</v>
      </c>
      <c r="U384" s="22" t="str">
        <f>IF(T384=1,COUNTIF($T$4:T384,1),"")</f>
        <v/>
      </c>
      <c r="V384" s="23" t="str">
        <f t="shared" si="29"/>
        <v/>
      </c>
      <c r="W384" s="23">
        <f t="shared" si="30"/>
        <v>0</v>
      </c>
      <c r="X384" s="24"/>
      <c r="Y384" s="23"/>
    </row>
    <row r="385" spans="1:256" outlineLevel="1">
      <c r="A385" s="16"/>
      <c r="B385" s="20"/>
      <c r="C385" s="41"/>
      <c r="D385" s="20"/>
      <c r="E385" s="20"/>
      <c r="F385" s="21"/>
      <c r="G385" s="42"/>
      <c r="H385" s="42"/>
      <c r="I385" s="42"/>
      <c r="J385" s="20"/>
      <c r="K385" s="21"/>
      <c r="L385" s="21"/>
      <c r="M385" s="21"/>
      <c r="N385" s="21"/>
      <c r="O385" s="21"/>
      <c r="P385" s="21"/>
      <c r="Q385" s="21"/>
      <c r="R385" s="20"/>
      <c r="S385" s="22">
        <f t="shared" si="28"/>
        <v>0</v>
      </c>
      <c r="T385" s="22">
        <f>COUNTIF($V$4:V385,V385)</f>
        <v>114</v>
      </c>
      <c r="U385" s="22" t="str">
        <f>IF(T385=1,COUNTIF($T$4:T385,1),"")</f>
        <v/>
      </c>
      <c r="V385" s="23" t="str">
        <f t="shared" si="29"/>
        <v/>
      </c>
      <c r="W385" s="23">
        <f t="shared" si="30"/>
        <v>0</v>
      </c>
      <c r="X385" s="24"/>
      <c r="Y385" s="23"/>
    </row>
    <row r="386" spans="1:256" outlineLevel="1">
      <c r="A386" s="16"/>
      <c r="B386" s="20"/>
      <c r="C386" s="41"/>
      <c r="D386" s="20"/>
      <c r="E386" s="20"/>
      <c r="F386" s="21"/>
      <c r="G386" s="42"/>
      <c r="H386" s="42"/>
      <c r="I386" s="42"/>
      <c r="J386" s="20"/>
      <c r="K386" s="21"/>
      <c r="L386" s="21"/>
      <c r="M386" s="21"/>
      <c r="N386" s="21"/>
      <c r="O386" s="21"/>
      <c r="P386" s="21"/>
      <c r="Q386" s="21"/>
      <c r="R386" s="20"/>
      <c r="S386" s="22">
        <f t="shared" si="28"/>
        <v>0</v>
      </c>
      <c r="T386" s="22">
        <f>COUNTIF($V$4:V386,V386)</f>
        <v>115</v>
      </c>
      <c r="U386" s="22" t="str">
        <f>IF(T386=1,COUNTIF($T$4:T386,1),"")</f>
        <v/>
      </c>
      <c r="V386" s="23" t="str">
        <f t="shared" si="29"/>
        <v/>
      </c>
      <c r="W386" s="23">
        <f t="shared" si="30"/>
        <v>0</v>
      </c>
      <c r="X386" s="24"/>
      <c r="Y386" s="23"/>
    </row>
    <row r="387" spans="1:256" outlineLevel="1">
      <c r="A387" s="16"/>
      <c r="B387" s="20"/>
      <c r="C387" s="41"/>
      <c r="D387" s="20"/>
      <c r="E387" s="20"/>
      <c r="F387" s="21"/>
      <c r="G387" s="42"/>
      <c r="H387" s="42"/>
      <c r="I387" s="42"/>
      <c r="J387" s="20"/>
      <c r="K387" s="21"/>
      <c r="L387" s="21"/>
      <c r="M387" s="21"/>
      <c r="N387" s="21"/>
      <c r="O387" s="21"/>
      <c r="P387" s="21"/>
      <c r="Q387" s="21"/>
      <c r="R387" s="20"/>
      <c r="S387" s="22">
        <f t="shared" si="28"/>
        <v>0</v>
      </c>
      <c r="T387" s="22">
        <f>COUNTIF($V$4:V387,V387)</f>
        <v>116</v>
      </c>
      <c r="U387" s="22" t="str">
        <f>IF(T387=1,COUNTIF($T$4:T387,1),"")</f>
        <v/>
      </c>
      <c r="V387" s="23" t="str">
        <f t="shared" si="29"/>
        <v/>
      </c>
      <c r="W387" s="23">
        <f t="shared" si="30"/>
        <v>0</v>
      </c>
      <c r="X387" s="24"/>
      <c r="Y387" s="23"/>
    </row>
    <row r="388" spans="1:256" outlineLevel="1">
      <c r="A388" s="16"/>
      <c r="B388" s="20"/>
      <c r="C388" s="41"/>
      <c r="D388" s="20"/>
      <c r="E388" s="20"/>
      <c r="F388" s="21"/>
      <c r="G388" s="42"/>
      <c r="H388" s="42"/>
      <c r="I388" s="42"/>
      <c r="J388" s="20"/>
      <c r="K388" s="21"/>
      <c r="L388" s="21"/>
      <c r="M388" s="21"/>
      <c r="N388" s="21"/>
      <c r="O388" s="21"/>
      <c r="P388" s="21"/>
      <c r="Q388" s="21"/>
      <c r="R388" s="20"/>
      <c r="S388" s="22">
        <f t="shared" si="28"/>
        <v>0</v>
      </c>
      <c r="T388" s="22">
        <f>COUNTIF($V$4:V388,V388)</f>
        <v>117</v>
      </c>
      <c r="U388" s="22" t="str">
        <f>IF(T388=1,COUNTIF($T$4:T388,1),"")</f>
        <v/>
      </c>
      <c r="V388" s="23" t="str">
        <f t="shared" si="29"/>
        <v/>
      </c>
      <c r="W388" s="23">
        <f t="shared" si="30"/>
        <v>0</v>
      </c>
      <c r="X388" s="24"/>
      <c r="Y388" s="23"/>
    </row>
    <row r="389" spans="1:256" outlineLevel="1">
      <c r="A389" s="16"/>
      <c r="B389" s="20"/>
      <c r="C389" s="41"/>
      <c r="D389" s="20"/>
      <c r="E389" s="20"/>
      <c r="F389" s="21"/>
      <c r="G389" s="42"/>
      <c r="H389" s="42"/>
      <c r="I389" s="42"/>
      <c r="J389" s="20"/>
      <c r="K389" s="21"/>
      <c r="L389" s="21"/>
      <c r="M389" s="21"/>
      <c r="N389" s="21"/>
      <c r="O389" s="21"/>
      <c r="P389" s="21"/>
      <c r="Q389" s="21"/>
      <c r="R389" s="20"/>
      <c r="S389" s="22">
        <f t="shared" si="28"/>
        <v>0</v>
      </c>
      <c r="T389" s="22">
        <f>COUNTIF($V$4:V389,V389)</f>
        <v>118</v>
      </c>
      <c r="U389" s="22" t="str">
        <f>IF(T389=1,COUNTIF($T$4:T389,1),"")</f>
        <v/>
      </c>
      <c r="V389" s="23" t="str">
        <f t="shared" si="29"/>
        <v/>
      </c>
      <c r="W389" s="23">
        <f t="shared" si="30"/>
        <v>0</v>
      </c>
      <c r="X389" s="24"/>
      <c r="Y389" s="23"/>
    </row>
    <row r="390" spans="1:256" outlineLevel="1">
      <c r="A390" s="16"/>
      <c r="B390" s="20"/>
      <c r="C390" s="41"/>
      <c r="D390" s="20"/>
      <c r="E390" s="20"/>
      <c r="F390" s="21"/>
      <c r="G390" s="42"/>
      <c r="H390" s="42"/>
      <c r="I390" s="42"/>
      <c r="J390" s="20"/>
      <c r="K390" s="21"/>
      <c r="L390" s="21"/>
      <c r="M390" s="21"/>
      <c r="N390" s="21"/>
      <c r="O390" s="21"/>
      <c r="P390" s="21"/>
      <c r="Q390" s="21"/>
      <c r="R390" s="20"/>
      <c r="S390" s="22">
        <f t="shared" ref="S390:S453" si="31">A390</f>
        <v>0</v>
      </c>
      <c r="T390" s="22">
        <f>COUNTIF($V$4:V390,V390)</f>
        <v>119</v>
      </c>
      <c r="U390" s="22" t="str">
        <f>IF(T390=1,COUNTIF($T$4:T390,1),"")</f>
        <v/>
      </c>
      <c r="V390" s="23" t="str">
        <f t="shared" ref="V390:V453" si="32">$E390&amp;$C390</f>
        <v/>
      </c>
      <c r="W390" s="23">
        <f t="shared" ref="W390:W512" si="33">$F390</f>
        <v>0</v>
      </c>
      <c r="X390" s="24"/>
      <c r="Y390" s="23"/>
    </row>
    <row r="391" spans="1:256" outlineLevel="1">
      <c r="A391" s="16"/>
      <c r="B391" s="20"/>
      <c r="C391" s="41"/>
      <c r="D391" s="20"/>
      <c r="E391" s="20"/>
      <c r="F391" s="21"/>
      <c r="G391" s="42"/>
      <c r="H391" s="42"/>
      <c r="I391" s="42"/>
      <c r="J391" s="20"/>
      <c r="K391" s="21"/>
      <c r="L391" s="21"/>
      <c r="M391" s="21"/>
      <c r="N391" s="21"/>
      <c r="O391" s="21"/>
      <c r="P391" s="21"/>
      <c r="Q391" s="21"/>
      <c r="R391" s="20"/>
      <c r="S391" s="22">
        <f t="shared" si="31"/>
        <v>0</v>
      </c>
      <c r="T391" s="22">
        <f>COUNTIF($V$4:V391,V391)</f>
        <v>120</v>
      </c>
      <c r="U391" s="22" t="str">
        <f>IF(T391=1,COUNTIF($T$4:T391,1),"")</f>
        <v/>
      </c>
      <c r="V391" s="23" t="str">
        <f t="shared" si="32"/>
        <v/>
      </c>
      <c r="W391" s="23">
        <f t="shared" si="33"/>
        <v>0</v>
      </c>
      <c r="X391" s="24"/>
      <c r="Y391" s="23"/>
    </row>
    <row r="392" spans="1:256" outlineLevel="1">
      <c r="A392" s="16"/>
      <c r="B392" s="20"/>
      <c r="C392" s="41"/>
      <c r="D392" s="20"/>
      <c r="E392" s="20"/>
      <c r="F392" s="21"/>
      <c r="G392" s="42"/>
      <c r="H392" s="42"/>
      <c r="I392" s="42"/>
      <c r="J392" s="20"/>
      <c r="K392" s="21"/>
      <c r="L392" s="21"/>
      <c r="M392" s="21"/>
      <c r="N392" s="21"/>
      <c r="O392" s="21"/>
      <c r="P392" s="21"/>
      <c r="Q392" s="21"/>
      <c r="R392" s="20"/>
      <c r="S392" s="22">
        <f t="shared" si="31"/>
        <v>0</v>
      </c>
      <c r="T392" s="22">
        <f>COUNTIF($V$4:V392,V392)</f>
        <v>121</v>
      </c>
      <c r="U392" s="22" t="str">
        <f>IF(T392=1,COUNTIF($T$4:T392,1),"")</f>
        <v/>
      </c>
      <c r="V392" s="23" t="str">
        <f t="shared" si="32"/>
        <v/>
      </c>
      <c r="W392" s="23">
        <f t="shared" si="33"/>
        <v>0</v>
      </c>
      <c r="X392" s="24"/>
      <c r="Y392" s="23"/>
    </row>
    <row r="393" spans="1:256" outlineLevel="1">
      <c r="A393" s="16"/>
      <c r="B393" s="20"/>
      <c r="C393" s="41"/>
      <c r="D393" s="20"/>
      <c r="E393" s="20"/>
      <c r="F393" s="21"/>
      <c r="G393" s="42"/>
      <c r="H393" s="42"/>
      <c r="I393" s="42"/>
      <c r="J393" s="20"/>
      <c r="K393" s="21"/>
      <c r="L393" s="21"/>
      <c r="M393" s="21"/>
      <c r="N393" s="21"/>
      <c r="O393" s="21"/>
      <c r="P393" s="21"/>
      <c r="Q393" s="21"/>
      <c r="R393" s="20"/>
      <c r="S393" s="22">
        <f t="shared" si="31"/>
        <v>0</v>
      </c>
      <c r="T393" s="22">
        <f>COUNTIF($V$4:V393,V393)</f>
        <v>122</v>
      </c>
      <c r="U393" s="22" t="str">
        <f>IF(T393=1,COUNTIF($T$4:T393,1),"")</f>
        <v/>
      </c>
      <c r="V393" s="23" t="str">
        <f t="shared" si="32"/>
        <v/>
      </c>
      <c r="W393" s="23">
        <f t="shared" si="33"/>
        <v>0</v>
      </c>
      <c r="X393" s="24"/>
      <c r="Y393" s="23"/>
    </row>
    <row r="394" spans="1:256" outlineLevel="1">
      <c r="A394" s="16"/>
      <c r="B394" s="20"/>
      <c r="C394" s="41"/>
      <c r="D394" s="20"/>
      <c r="E394" s="20"/>
      <c r="F394" s="21"/>
      <c r="G394" s="42"/>
      <c r="H394" s="42"/>
      <c r="I394" s="42"/>
      <c r="J394" s="20"/>
      <c r="K394" s="21"/>
      <c r="L394" s="21"/>
      <c r="M394" s="21"/>
      <c r="N394" s="21"/>
      <c r="O394" s="21"/>
      <c r="P394" s="21"/>
      <c r="Q394" s="21"/>
      <c r="R394" s="20"/>
      <c r="S394" s="22">
        <f t="shared" si="31"/>
        <v>0</v>
      </c>
      <c r="T394" s="22">
        <f>COUNTIF($V$4:V394,V394)</f>
        <v>123</v>
      </c>
      <c r="U394" s="22" t="str">
        <f>IF(T394=1,COUNTIF($T$4:T394,1),"")</f>
        <v/>
      </c>
      <c r="V394" s="23" t="str">
        <f t="shared" si="32"/>
        <v/>
      </c>
      <c r="W394" s="23">
        <f t="shared" si="33"/>
        <v>0</v>
      </c>
      <c r="X394" s="24"/>
      <c r="Y394" s="23"/>
    </row>
    <row r="395" spans="1:256" outlineLevel="1">
      <c r="A395" s="16"/>
      <c r="B395" s="20"/>
      <c r="C395" s="41"/>
      <c r="D395" s="20"/>
      <c r="E395" s="20"/>
      <c r="F395" s="21"/>
      <c r="G395" s="42"/>
      <c r="H395" s="42"/>
      <c r="I395" s="42"/>
      <c r="J395" s="20"/>
      <c r="K395" s="21"/>
      <c r="L395" s="21"/>
      <c r="M395" s="21"/>
      <c r="N395" s="21"/>
      <c r="O395" s="21"/>
      <c r="P395" s="21"/>
      <c r="Q395" s="21"/>
      <c r="R395" s="20"/>
      <c r="S395" s="22">
        <f t="shared" si="31"/>
        <v>0</v>
      </c>
      <c r="T395" s="22">
        <f>COUNTIF($V$4:V395,V395)</f>
        <v>124</v>
      </c>
      <c r="U395" s="22" t="str">
        <f>IF(T395=1,COUNTIF($T$4:T395,1),"")</f>
        <v/>
      </c>
      <c r="V395" s="23" t="str">
        <f t="shared" si="32"/>
        <v/>
      </c>
      <c r="W395" s="23">
        <f t="shared" si="33"/>
        <v>0</v>
      </c>
      <c r="X395" s="24"/>
      <c r="Y395" s="23"/>
    </row>
    <row r="396" spans="1:256" outlineLevel="1">
      <c r="A396" s="16"/>
      <c r="B396" s="20"/>
      <c r="C396" s="41"/>
      <c r="D396" s="20"/>
      <c r="E396" s="20"/>
      <c r="F396" s="21"/>
      <c r="G396" s="42"/>
      <c r="H396" s="42"/>
      <c r="I396" s="42"/>
      <c r="J396" s="20"/>
      <c r="K396" s="21"/>
      <c r="L396" s="21"/>
      <c r="M396" s="21"/>
      <c r="N396" s="21"/>
      <c r="O396" s="21"/>
      <c r="P396" s="21"/>
      <c r="Q396" s="21"/>
      <c r="R396" s="20"/>
      <c r="S396" s="22">
        <f t="shared" si="31"/>
        <v>0</v>
      </c>
      <c r="T396" s="22">
        <f>COUNTIF($V$4:V396,V396)</f>
        <v>125</v>
      </c>
      <c r="U396" s="22" t="str">
        <f>IF(T396=1,COUNTIF($T$4:T396,1),"")</f>
        <v/>
      </c>
      <c r="V396" s="23" t="str">
        <f t="shared" si="32"/>
        <v/>
      </c>
      <c r="W396" s="23">
        <f t="shared" si="33"/>
        <v>0</v>
      </c>
      <c r="X396" s="24"/>
      <c r="Y396" s="23"/>
    </row>
    <row r="397" spans="1:256" s="23" customFormat="1" outlineLevel="1">
      <c r="A397" s="16"/>
      <c r="B397" s="20"/>
      <c r="C397" s="41"/>
      <c r="D397" s="20"/>
      <c r="E397" s="20"/>
      <c r="F397" s="21"/>
      <c r="G397" s="42"/>
      <c r="H397" s="42"/>
      <c r="I397" s="42"/>
      <c r="J397" s="20"/>
      <c r="K397" s="21"/>
      <c r="L397" s="21"/>
      <c r="M397" s="21"/>
      <c r="N397" s="21"/>
      <c r="O397" s="21"/>
      <c r="P397" s="21"/>
      <c r="Q397" s="21"/>
      <c r="R397" s="20"/>
      <c r="S397" s="22">
        <f t="shared" si="31"/>
        <v>0</v>
      </c>
      <c r="T397" s="22">
        <f>COUNTIF($V$4:V397,V397)</f>
        <v>126</v>
      </c>
      <c r="U397" s="22" t="str">
        <f>IF(T397=1,COUNTIF($T$4:T397,1),"")</f>
        <v/>
      </c>
      <c r="V397" s="23" t="str">
        <f t="shared" si="32"/>
        <v/>
      </c>
      <c r="W397" s="23">
        <f t="shared" si="33"/>
        <v>0</v>
      </c>
      <c r="X397" s="24"/>
      <c r="Z397" s="9"/>
      <c r="AA397" s="9"/>
      <c r="AB397" s="9"/>
      <c r="AC397" s="9"/>
      <c r="AD397" s="9"/>
      <c r="AE397" s="9"/>
      <c r="AF397" s="9"/>
      <c r="AG397" s="9"/>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c r="CA397" s="11"/>
      <c r="CB397" s="11"/>
      <c r="CC397" s="11"/>
      <c r="CD397" s="11"/>
      <c r="CE397" s="11"/>
      <c r="CF397" s="11"/>
      <c r="CG397" s="11"/>
      <c r="CH397" s="11"/>
      <c r="CI397" s="11"/>
      <c r="CJ397" s="11"/>
      <c r="CK397" s="11"/>
      <c r="CL397" s="11"/>
      <c r="CM397" s="11"/>
      <c r="CN397" s="11"/>
      <c r="CO397" s="11"/>
      <c r="CP397" s="11"/>
      <c r="CQ397" s="11"/>
      <c r="CR397" s="11"/>
      <c r="CS397" s="11"/>
      <c r="CT397" s="11"/>
      <c r="CU397" s="11"/>
      <c r="CV397" s="11"/>
      <c r="CW397" s="11"/>
      <c r="CX397" s="11"/>
      <c r="CY397" s="11"/>
      <c r="CZ397" s="11"/>
      <c r="DA397" s="11"/>
      <c r="DB397" s="11"/>
      <c r="DC397" s="11"/>
      <c r="DD397" s="11"/>
      <c r="DE397" s="11"/>
      <c r="DF397" s="11"/>
      <c r="DG397" s="11"/>
      <c r="DH397" s="11"/>
      <c r="DI397" s="11"/>
      <c r="DJ397" s="11"/>
      <c r="DK397" s="11"/>
      <c r="DL397" s="11"/>
      <c r="DM397" s="11"/>
      <c r="DN397" s="11"/>
      <c r="DO397" s="11"/>
      <c r="DP397" s="11"/>
      <c r="DQ397" s="11"/>
      <c r="DR397" s="11"/>
      <c r="DS397" s="11"/>
      <c r="DT397" s="11"/>
      <c r="DU397" s="11"/>
      <c r="DV397" s="11"/>
      <c r="DW397" s="11"/>
      <c r="DX397" s="11"/>
      <c r="DY397" s="11"/>
      <c r="DZ397" s="11"/>
      <c r="EA397" s="11"/>
      <c r="EB397" s="11"/>
      <c r="EC397" s="11"/>
      <c r="ED397" s="11"/>
      <c r="EE397" s="11"/>
      <c r="EF397" s="11"/>
      <c r="EG397" s="11"/>
      <c r="EH397" s="11"/>
      <c r="EI397" s="11"/>
      <c r="EJ397" s="11"/>
      <c r="EK397" s="11"/>
      <c r="EL397" s="11"/>
      <c r="EM397" s="11"/>
      <c r="EN397" s="11"/>
      <c r="EO397" s="11"/>
      <c r="EP397" s="11"/>
      <c r="EQ397" s="11"/>
      <c r="ER397" s="11"/>
      <c r="ES397" s="11"/>
      <c r="ET397" s="11"/>
      <c r="EU397" s="11"/>
      <c r="EV397" s="11"/>
      <c r="EW397" s="11"/>
      <c r="EX397" s="11"/>
      <c r="EY397" s="11"/>
      <c r="EZ397" s="11"/>
      <c r="FA397" s="11"/>
      <c r="FB397" s="11"/>
      <c r="FC397" s="11"/>
      <c r="FD397" s="11"/>
      <c r="FE397" s="11"/>
      <c r="FF397" s="11"/>
      <c r="FG397" s="11"/>
      <c r="FH397" s="11"/>
      <c r="FI397" s="11"/>
      <c r="FJ397" s="11"/>
      <c r="FK397" s="11"/>
      <c r="FL397" s="11"/>
      <c r="FM397" s="11"/>
      <c r="FN397" s="11"/>
      <c r="FO397" s="11"/>
      <c r="FP397" s="11"/>
      <c r="FQ397" s="11"/>
      <c r="FR397" s="11"/>
      <c r="FS397" s="11"/>
      <c r="FT397" s="11"/>
      <c r="FU397" s="11"/>
      <c r="FV397" s="11"/>
      <c r="FW397" s="11"/>
      <c r="FX397" s="11"/>
      <c r="FY397" s="11"/>
      <c r="FZ397" s="11"/>
      <c r="GA397" s="11"/>
      <c r="GB397" s="11"/>
      <c r="GC397" s="11"/>
      <c r="GD397" s="11"/>
      <c r="GE397" s="11"/>
      <c r="GF397" s="11"/>
      <c r="GG397" s="11"/>
      <c r="GH397" s="11"/>
      <c r="GI397" s="11"/>
      <c r="GJ397" s="11"/>
      <c r="GK397" s="11"/>
      <c r="GL397" s="11"/>
      <c r="GM397" s="11"/>
      <c r="GN397" s="11"/>
      <c r="GO397" s="11"/>
      <c r="GP397" s="11"/>
      <c r="GQ397" s="11"/>
      <c r="GR397" s="11"/>
      <c r="GS397" s="11"/>
      <c r="GT397" s="11"/>
      <c r="GU397" s="11"/>
      <c r="GV397" s="11"/>
      <c r="GW397" s="11"/>
      <c r="GX397" s="11"/>
      <c r="GY397" s="11"/>
      <c r="GZ397" s="11"/>
      <c r="HA397" s="11"/>
      <c r="HB397" s="11"/>
      <c r="HC397" s="11"/>
      <c r="HD397" s="11"/>
      <c r="HE397" s="11"/>
      <c r="HF397" s="11"/>
      <c r="HG397" s="11"/>
      <c r="HH397" s="11"/>
      <c r="HI397" s="11"/>
      <c r="HJ397" s="11"/>
      <c r="HK397" s="11"/>
      <c r="HL397" s="11"/>
      <c r="HM397" s="11"/>
      <c r="HN397" s="11"/>
      <c r="HO397" s="11"/>
      <c r="HP397" s="11"/>
      <c r="HQ397" s="11"/>
      <c r="HR397" s="11"/>
      <c r="HS397" s="11"/>
      <c r="HT397" s="11"/>
      <c r="HU397" s="11"/>
      <c r="HV397" s="11"/>
      <c r="HW397" s="11"/>
      <c r="HX397" s="11"/>
      <c r="HY397" s="11"/>
      <c r="HZ397" s="11"/>
      <c r="IA397" s="11"/>
      <c r="IB397" s="11"/>
      <c r="IC397" s="11"/>
      <c r="ID397" s="11"/>
      <c r="IE397" s="11"/>
      <c r="IF397" s="11"/>
      <c r="IG397" s="11"/>
      <c r="IH397" s="11"/>
      <c r="II397" s="11"/>
      <c r="IJ397" s="11"/>
      <c r="IK397" s="11"/>
      <c r="IL397" s="11"/>
      <c r="IM397" s="11"/>
      <c r="IN397" s="11"/>
      <c r="IO397" s="11"/>
      <c r="IP397" s="11"/>
      <c r="IQ397" s="11"/>
      <c r="IR397" s="11"/>
      <c r="IS397" s="11"/>
      <c r="IT397" s="11"/>
      <c r="IU397" s="11"/>
      <c r="IV397" s="11"/>
    </row>
    <row r="398" spans="1:256" outlineLevel="1">
      <c r="A398" s="16"/>
      <c r="B398" s="20"/>
      <c r="C398" s="41"/>
      <c r="D398" s="20"/>
      <c r="E398" s="20"/>
      <c r="F398" s="21"/>
      <c r="G398" s="42"/>
      <c r="H398" s="42"/>
      <c r="I398" s="42"/>
      <c r="J398" s="20"/>
      <c r="K398" s="21"/>
      <c r="L398" s="21"/>
      <c r="M398" s="21"/>
      <c r="N398" s="21"/>
      <c r="O398" s="21"/>
      <c r="P398" s="21"/>
      <c r="Q398" s="21"/>
      <c r="R398" s="20"/>
      <c r="S398" s="22">
        <f t="shared" si="31"/>
        <v>0</v>
      </c>
      <c r="T398" s="22">
        <f>COUNTIF($V$4:V398,V398)</f>
        <v>127</v>
      </c>
      <c r="U398" s="22" t="str">
        <f>IF(T398=1,COUNTIF($T$4:T398,1),"")</f>
        <v/>
      </c>
      <c r="V398" s="23" t="str">
        <f t="shared" si="32"/>
        <v/>
      </c>
      <c r="W398" s="23">
        <f t="shared" si="33"/>
        <v>0</v>
      </c>
      <c r="X398" s="24"/>
      <c r="Y398" s="23"/>
      <c r="Z398" s="23"/>
      <c r="AA398" s="23"/>
      <c r="AB398" s="23"/>
      <c r="AC398" s="23"/>
      <c r="AD398" s="23"/>
      <c r="AE398" s="23"/>
      <c r="AF398" s="23"/>
      <c r="AG398" s="23"/>
    </row>
    <row r="399" spans="1:256" outlineLevel="1">
      <c r="A399" s="16"/>
      <c r="B399" s="20"/>
      <c r="C399" s="41"/>
      <c r="D399" s="20"/>
      <c r="E399" s="20"/>
      <c r="F399" s="21"/>
      <c r="G399" s="42"/>
      <c r="H399" s="42"/>
      <c r="I399" s="42"/>
      <c r="J399" s="20"/>
      <c r="K399" s="21"/>
      <c r="L399" s="21"/>
      <c r="M399" s="21"/>
      <c r="N399" s="21"/>
      <c r="O399" s="21"/>
      <c r="P399" s="21"/>
      <c r="Q399" s="21"/>
      <c r="R399" s="20"/>
      <c r="S399" s="22">
        <f t="shared" si="31"/>
        <v>0</v>
      </c>
      <c r="T399" s="22">
        <f>COUNTIF($V$4:V399,V399)</f>
        <v>128</v>
      </c>
      <c r="U399" s="22" t="str">
        <f>IF(T399=1,COUNTIF($T$4:T399,1),"")</f>
        <v/>
      </c>
      <c r="V399" s="23" t="str">
        <f t="shared" si="32"/>
        <v/>
      </c>
      <c r="W399" s="23">
        <f t="shared" si="33"/>
        <v>0</v>
      </c>
      <c r="X399" s="24"/>
      <c r="Y399" s="23"/>
    </row>
    <row r="400" spans="1:256" outlineLevel="1">
      <c r="A400" s="16"/>
      <c r="B400" s="20"/>
      <c r="C400" s="41"/>
      <c r="D400" s="20"/>
      <c r="E400" s="20"/>
      <c r="F400" s="21"/>
      <c r="G400" s="42"/>
      <c r="H400" s="42"/>
      <c r="I400" s="42"/>
      <c r="J400" s="20"/>
      <c r="K400" s="21"/>
      <c r="L400" s="21"/>
      <c r="M400" s="21"/>
      <c r="N400" s="21"/>
      <c r="O400" s="21"/>
      <c r="P400" s="21"/>
      <c r="Q400" s="21"/>
      <c r="R400" s="20"/>
      <c r="S400" s="22">
        <f t="shared" si="31"/>
        <v>0</v>
      </c>
      <c r="T400" s="22">
        <f>COUNTIF($V$4:V400,V400)</f>
        <v>129</v>
      </c>
      <c r="U400" s="22" t="str">
        <f>IF(T400=1,COUNTIF($T$4:T400,1),"")</f>
        <v/>
      </c>
      <c r="V400" s="23" t="str">
        <f t="shared" si="32"/>
        <v/>
      </c>
      <c r="W400" s="23">
        <f t="shared" si="33"/>
        <v>0</v>
      </c>
      <c r="X400" s="24"/>
      <c r="Y400" s="23"/>
    </row>
    <row r="401" spans="1:25" outlineLevel="1">
      <c r="A401" s="16"/>
      <c r="B401" s="20"/>
      <c r="C401" s="41"/>
      <c r="D401" s="20"/>
      <c r="E401" s="20"/>
      <c r="F401" s="21"/>
      <c r="G401" s="42"/>
      <c r="H401" s="42"/>
      <c r="I401" s="42"/>
      <c r="J401" s="20"/>
      <c r="K401" s="21"/>
      <c r="L401" s="21"/>
      <c r="M401" s="21"/>
      <c r="N401" s="21"/>
      <c r="O401" s="21"/>
      <c r="P401" s="21"/>
      <c r="Q401" s="21"/>
      <c r="R401" s="20"/>
      <c r="S401" s="22">
        <f t="shared" si="31"/>
        <v>0</v>
      </c>
      <c r="T401" s="22">
        <f>COUNTIF($V$4:V401,V401)</f>
        <v>130</v>
      </c>
      <c r="U401" s="22" t="str">
        <f>IF(T401=1,COUNTIF($T$4:T401,1),"")</f>
        <v/>
      </c>
      <c r="V401" s="23" t="str">
        <f t="shared" si="32"/>
        <v/>
      </c>
      <c r="W401" s="23">
        <f t="shared" si="33"/>
        <v>0</v>
      </c>
      <c r="X401" s="24"/>
      <c r="Y401" s="23"/>
    </row>
    <row r="402" spans="1:25" outlineLevel="1">
      <c r="A402" s="16"/>
      <c r="B402" s="20"/>
      <c r="C402" s="41"/>
      <c r="D402" s="20"/>
      <c r="E402" s="20"/>
      <c r="F402" s="21"/>
      <c r="G402" s="42"/>
      <c r="H402" s="42"/>
      <c r="I402" s="42"/>
      <c r="J402" s="20"/>
      <c r="K402" s="21"/>
      <c r="L402" s="21"/>
      <c r="M402" s="21"/>
      <c r="N402" s="21"/>
      <c r="O402" s="21"/>
      <c r="P402" s="21"/>
      <c r="Q402" s="21"/>
      <c r="R402" s="20"/>
      <c r="S402" s="22">
        <f t="shared" si="31"/>
        <v>0</v>
      </c>
      <c r="T402" s="22">
        <f>COUNTIF($V$4:V402,V402)</f>
        <v>131</v>
      </c>
      <c r="U402" s="22" t="str">
        <f>IF(T402=1,COUNTIF($T$4:T402,1),"")</f>
        <v/>
      </c>
      <c r="V402" s="23" t="str">
        <f t="shared" si="32"/>
        <v/>
      </c>
      <c r="W402" s="23">
        <f t="shared" si="33"/>
        <v>0</v>
      </c>
      <c r="X402" s="24"/>
      <c r="Y402" s="23"/>
    </row>
    <row r="403" spans="1:25" outlineLevel="1">
      <c r="A403" s="16"/>
      <c r="B403" s="20"/>
      <c r="C403" s="20"/>
      <c r="D403" s="20"/>
      <c r="E403" s="20"/>
      <c r="F403" s="21"/>
      <c r="G403" s="21"/>
      <c r="H403" s="21"/>
      <c r="I403" s="21"/>
      <c r="J403" s="20"/>
      <c r="K403" s="21"/>
      <c r="L403" s="21"/>
      <c r="M403" s="21"/>
      <c r="N403" s="21"/>
      <c r="O403" s="39"/>
      <c r="P403" s="21"/>
      <c r="Q403" s="21"/>
      <c r="R403" s="20"/>
      <c r="S403" s="22">
        <f t="shared" si="31"/>
        <v>0</v>
      </c>
      <c r="T403" s="22">
        <f>COUNTIF($V$4:V403,V403)</f>
        <v>132</v>
      </c>
      <c r="U403" s="22" t="str">
        <f>IF(T403=1,COUNTIF($T$4:T403,1),"")</f>
        <v/>
      </c>
      <c r="V403" s="23" t="str">
        <f t="shared" si="32"/>
        <v/>
      </c>
      <c r="W403" s="23">
        <f t="shared" si="33"/>
        <v>0</v>
      </c>
      <c r="X403" s="24"/>
      <c r="Y403" s="23"/>
    </row>
    <row r="404" spans="1:25" outlineLevel="1">
      <c r="A404" s="16"/>
      <c r="B404" s="20"/>
      <c r="C404" s="20"/>
      <c r="D404" s="20"/>
      <c r="E404" s="20"/>
      <c r="F404" s="21"/>
      <c r="G404" s="21"/>
      <c r="H404" s="21"/>
      <c r="I404" s="21"/>
      <c r="J404" s="20"/>
      <c r="K404" s="21"/>
      <c r="L404" s="21"/>
      <c r="M404" s="21"/>
      <c r="N404" s="21"/>
      <c r="O404" s="39"/>
      <c r="P404" s="21"/>
      <c r="Q404" s="21"/>
      <c r="R404" s="20"/>
      <c r="S404" s="22">
        <f t="shared" si="31"/>
        <v>0</v>
      </c>
      <c r="T404" s="22">
        <f>COUNTIF($V$4:V404,V404)</f>
        <v>133</v>
      </c>
      <c r="U404" s="22" t="str">
        <f>IF(T404=1,COUNTIF($T$4:T404,1),"")</f>
        <v/>
      </c>
      <c r="V404" s="23" t="str">
        <f t="shared" si="32"/>
        <v/>
      </c>
      <c r="W404" s="23">
        <f t="shared" si="33"/>
        <v>0</v>
      </c>
      <c r="X404" s="24"/>
      <c r="Y404" s="23"/>
    </row>
    <row r="405" spans="1:25" outlineLevel="1">
      <c r="A405" s="16"/>
      <c r="B405" s="20"/>
      <c r="C405" s="20"/>
      <c r="D405" s="20"/>
      <c r="E405" s="20"/>
      <c r="F405" s="21"/>
      <c r="G405" s="21"/>
      <c r="H405" s="21"/>
      <c r="I405" s="21"/>
      <c r="J405" s="20"/>
      <c r="K405" s="21"/>
      <c r="L405" s="21"/>
      <c r="M405" s="21"/>
      <c r="N405" s="21"/>
      <c r="O405" s="39"/>
      <c r="P405" s="21"/>
      <c r="Q405" s="21"/>
      <c r="R405" s="20"/>
      <c r="S405" s="22">
        <f t="shared" si="31"/>
        <v>0</v>
      </c>
      <c r="T405" s="22">
        <f>COUNTIF($V$4:V405,V405)</f>
        <v>134</v>
      </c>
      <c r="U405" s="22" t="str">
        <f>IF(T405=1,COUNTIF($T$4:T405,1),"")</f>
        <v/>
      </c>
      <c r="V405" s="23" t="str">
        <f t="shared" si="32"/>
        <v/>
      </c>
      <c r="W405" s="23">
        <f t="shared" si="33"/>
        <v>0</v>
      </c>
      <c r="X405" s="24"/>
      <c r="Y405" s="23"/>
    </row>
    <row r="406" spans="1:25" outlineLevel="1">
      <c r="A406" s="16"/>
      <c r="B406" s="20"/>
      <c r="C406" s="20"/>
      <c r="D406" s="20"/>
      <c r="E406" s="20"/>
      <c r="F406" s="21"/>
      <c r="G406" s="21"/>
      <c r="H406" s="21"/>
      <c r="I406" s="21"/>
      <c r="J406" s="20"/>
      <c r="K406" s="21"/>
      <c r="L406" s="21"/>
      <c r="M406" s="21"/>
      <c r="N406" s="21"/>
      <c r="O406" s="39"/>
      <c r="P406" s="21"/>
      <c r="Q406" s="21"/>
      <c r="R406" s="20"/>
      <c r="S406" s="22">
        <f t="shared" si="31"/>
        <v>0</v>
      </c>
      <c r="T406" s="22">
        <f>COUNTIF($V$4:V406,V406)</f>
        <v>135</v>
      </c>
      <c r="U406" s="22" t="str">
        <f>IF(T406=1,COUNTIF($T$4:T406,1),"")</f>
        <v/>
      </c>
      <c r="V406" s="23" t="str">
        <f t="shared" si="32"/>
        <v/>
      </c>
      <c r="W406" s="23">
        <f t="shared" si="33"/>
        <v>0</v>
      </c>
      <c r="X406" s="24"/>
      <c r="Y406" s="23"/>
    </row>
    <row r="407" spans="1:25" outlineLevel="1">
      <c r="A407" s="16"/>
      <c r="B407" s="20"/>
      <c r="C407" s="20"/>
      <c r="D407" s="20"/>
      <c r="E407" s="20"/>
      <c r="F407" s="21"/>
      <c r="G407" s="21"/>
      <c r="H407" s="21"/>
      <c r="I407" s="21"/>
      <c r="J407" s="20"/>
      <c r="K407" s="21"/>
      <c r="L407" s="21"/>
      <c r="M407" s="21"/>
      <c r="N407" s="21"/>
      <c r="O407" s="39"/>
      <c r="P407" s="21"/>
      <c r="Q407" s="21"/>
      <c r="R407" s="20"/>
      <c r="S407" s="22">
        <f t="shared" si="31"/>
        <v>0</v>
      </c>
      <c r="T407" s="22">
        <f>COUNTIF($V$4:V407,V407)</f>
        <v>136</v>
      </c>
      <c r="U407" s="22" t="str">
        <f>IF(T407=1,COUNTIF($T$4:T407,1),"")</f>
        <v/>
      </c>
      <c r="V407" s="23" t="str">
        <f t="shared" si="32"/>
        <v/>
      </c>
      <c r="W407" s="23">
        <f t="shared" si="33"/>
        <v>0</v>
      </c>
      <c r="X407" s="24"/>
      <c r="Y407" s="23"/>
    </row>
    <row r="408" spans="1:25" outlineLevel="1">
      <c r="A408" s="16"/>
      <c r="B408" s="20"/>
      <c r="C408" s="20"/>
      <c r="D408" s="20"/>
      <c r="E408" s="20"/>
      <c r="F408" s="21"/>
      <c r="G408" s="21"/>
      <c r="H408" s="21"/>
      <c r="I408" s="21"/>
      <c r="J408" s="20"/>
      <c r="K408" s="21"/>
      <c r="L408" s="21"/>
      <c r="M408" s="21"/>
      <c r="N408" s="21"/>
      <c r="O408" s="39"/>
      <c r="P408" s="21"/>
      <c r="Q408" s="21"/>
      <c r="R408" s="20"/>
      <c r="S408" s="22">
        <f t="shared" si="31"/>
        <v>0</v>
      </c>
      <c r="T408" s="22">
        <f>COUNTIF($V$4:V408,V408)</f>
        <v>137</v>
      </c>
      <c r="U408" s="22" t="str">
        <f>IF(T408=1,COUNTIF($T$4:T408,1),"")</f>
        <v/>
      </c>
      <c r="V408" s="23" t="str">
        <f t="shared" si="32"/>
        <v/>
      </c>
      <c r="W408" s="23">
        <f t="shared" si="33"/>
        <v>0</v>
      </c>
      <c r="X408" s="24"/>
      <c r="Y408" s="23"/>
    </row>
    <row r="409" spans="1:25" outlineLevel="1">
      <c r="A409" s="16"/>
      <c r="B409" s="20"/>
      <c r="C409" s="20"/>
      <c r="D409" s="20"/>
      <c r="E409" s="20"/>
      <c r="F409" s="21"/>
      <c r="G409" s="21"/>
      <c r="H409" s="21"/>
      <c r="I409" s="21"/>
      <c r="J409" s="20"/>
      <c r="K409" s="21"/>
      <c r="L409" s="21"/>
      <c r="M409" s="21"/>
      <c r="N409" s="21"/>
      <c r="O409" s="39"/>
      <c r="P409" s="21"/>
      <c r="Q409" s="21"/>
      <c r="R409" s="20"/>
      <c r="S409" s="22">
        <f t="shared" si="31"/>
        <v>0</v>
      </c>
      <c r="T409" s="22">
        <f>COUNTIF($V$4:V409,V409)</f>
        <v>138</v>
      </c>
      <c r="U409" s="22" t="str">
        <f>IF(T409=1,COUNTIF($T$4:T409,1),"")</f>
        <v/>
      </c>
      <c r="V409" s="23" t="str">
        <f t="shared" si="32"/>
        <v/>
      </c>
      <c r="W409" s="23">
        <f t="shared" si="33"/>
        <v>0</v>
      </c>
      <c r="X409" s="24"/>
      <c r="Y409" s="23"/>
    </row>
    <row r="410" spans="1:25" outlineLevel="1">
      <c r="A410" s="16"/>
      <c r="B410" s="20"/>
      <c r="C410" s="20"/>
      <c r="D410" s="20"/>
      <c r="E410" s="20"/>
      <c r="F410" s="21"/>
      <c r="G410" s="21"/>
      <c r="H410" s="21"/>
      <c r="I410" s="21"/>
      <c r="J410" s="20"/>
      <c r="K410" s="21"/>
      <c r="L410" s="21"/>
      <c r="M410" s="21"/>
      <c r="N410" s="21"/>
      <c r="O410" s="39"/>
      <c r="P410" s="21"/>
      <c r="Q410" s="21"/>
      <c r="R410" s="20"/>
      <c r="S410" s="22">
        <f t="shared" si="31"/>
        <v>0</v>
      </c>
      <c r="T410" s="22">
        <f>COUNTIF($V$4:V410,V410)</f>
        <v>139</v>
      </c>
      <c r="U410" s="22" t="str">
        <f>IF(T410=1,COUNTIF($T$4:T410,1),"")</f>
        <v/>
      </c>
      <c r="V410" s="23" t="str">
        <f t="shared" si="32"/>
        <v/>
      </c>
      <c r="W410" s="23">
        <f t="shared" si="33"/>
        <v>0</v>
      </c>
      <c r="X410" s="24"/>
      <c r="Y410" s="23"/>
    </row>
    <row r="411" spans="1:25" outlineLevel="1">
      <c r="A411" s="16"/>
      <c r="B411" s="20"/>
      <c r="C411" s="20"/>
      <c r="D411" s="20"/>
      <c r="E411" s="20"/>
      <c r="F411" s="21"/>
      <c r="G411" s="21"/>
      <c r="H411" s="21"/>
      <c r="I411" s="21"/>
      <c r="J411" s="20"/>
      <c r="K411" s="21"/>
      <c r="L411" s="21"/>
      <c r="M411" s="21"/>
      <c r="N411" s="21"/>
      <c r="O411" s="39"/>
      <c r="P411" s="21"/>
      <c r="Q411" s="21"/>
      <c r="R411" s="20"/>
      <c r="S411" s="22">
        <f t="shared" si="31"/>
        <v>0</v>
      </c>
      <c r="T411" s="22">
        <f>COUNTIF($V$4:V411,V411)</f>
        <v>140</v>
      </c>
      <c r="U411" s="22" t="str">
        <f>IF(T411=1,COUNTIF($T$4:T411,1),"")</f>
        <v/>
      </c>
      <c r="V411" s="23" t="str">
        <f t="shared" si="32"/>
        <v/>
      </c>
      <c r="W411" s="23">
        <f t="shared" si="33"/>
        <v>0</v>
      </c>
      <c r="X411" s="24"/>
      <c r="Y411" s="23"/>
    </row>
    <row r="412" spans="1:25" outlineLevel="1">
      <c r="A412" s="16"/>
      <c r="B412" s="20"/>
      <c r="C412" s="20"/>
      <c r="D412" s="20"/>
      <c r="E412" s="20"/>
      <c r="F412" s="21"/>
      <c r="G412" s="21"/>
      <c r="H412" s="21"/>
      <c r="I412" s="21"/>
      <c r="J412" s="20"/>
      <c r="K412" s="21"/>
      <c r="L412" s="21"/>
      <c r="M412" s="21"/>
      <c r="N412" s="21"/>
      <c r="O412" s="39"/>
      <c r="P412" s="21"/>
      <c r="Q412" s="21"/>
      <c r="R412" s="20"/>
      <c r="S412" s="22">
        <f t="shared" si="31"/>
        <v>0</v>
      </c>
      <c r="T412" s="22">
        <f>COUNTIF($V$4:V412,V412)</f>
        <v>141</v>
      </c>
      <c r="U412" s="22" t="str">
        <f>IF(T412=1,COUNTIF($T$4:T412,1),"")</f>
        <v/>
      </c>
      <c r="V412" s="23" t="str">
        <f t="shared" si="32"/>
        <v/>
      </c>
      <c r="W412" s="23">
        <f t="shared" si="33"/>
        <v>0</v>
      </c>
      <c r="X412" s="24"/>
      <c r="Y412" s="23"/>
    </row>
    <row r="413" spans="1:25" outlineLevel="1">
      <c r="A413" s="16"/>
      <c r="B413" s="20"/>
      <c r="C413" s="20"/>
      <c r="D413" s="20"/>
      <c r="E413" s="20"/>
      <c r="F413" s="21"/>
      <c r="G413" s="21"/>
      <c r="H413" s="21"/>
      <c r="I413" s="21"/>
      <c r="J413" s="20"/>
      <c r="K413" s="21"/>
      <c r="L413" s="21"/>
      <c r="M413" s="21"/>
      <c r="N413" s="21"/>
      <c r="O413" s="39"/>
      <c r="P413" s="21"/>
      <c r="Q413" s="21"/>
      <c r="R413" s="20"/>
      <c r="S413" s="22">
        <f t="shared" si="31"/>
        <v>0</v>
      </c>
      <c r="T413" s="22">
        <f>COUNTIF($V$4:V413,V413)</f>
        <v>142</v>
      </c>
      <c r="U413" s="22" t="str">
        <f>IF(T413=1,COUNTIF($T$4:T413,1),"")</f>
        <v/>
      </c>
      <c r="V413" s="23" t="str">
        <f t="shared" si="32"/>
        <v/>
      </c>
      <c r="W413" s="23">
        <f t="shared" si="33"/>
        <v>0</v>
      </c>
      <c r="X413" s="24"/>
      <c r="Y413" s="23"/>
    </row>
    <row r="414" spans="1:25" outlineLevel="1">
      <c r="A414" s="16"/>
      <c r="B414" s="20"/>
      <c r="C414" s="20"/>
      <c r="D414" s="20"/>
      <c r="E414" s="20"/>
      <c r="F414" s="21"/>
      <c r="G414" s="21"/>
      <c r="H414" s="21"/>
      <c r="I414" s="21"/>
      <c r="J414" s="20"/>
      <c r="K414" s="21"/>
      <c r="L414" s="21"/>
      <c r="M414" s="21"/>
      <c r="N414" s="21"/>
      <c r="O414" s="39"/>
      <c r="P414" s="21"/>
      <c r="Q414" s="21"/>
      <c r="R414" s="20"/>
      <c r="S414" s="22">
        <f t="shared" si="31"/>
        <v>0</v>
      </c>
      <c r="T414" s="22">
        <f>COUNTIF($V$4:V414,V414)</f>
        <v>143</v>
      </c>
      <c r="U414" s="22" t="str">
        <f>IF(T414=1,COUNTIF($T$4:T414,1),"")</f>
        <v/>
      </c>
      <c r="V414" s="23" t="str">
        <f t="shared" si="32"/>
        <v/>
      </c>
      <c r="W414" s="23">
        <f t="shared" si="33"/>
        <v>0</v>
      </c>
      <c r="X414" s="24"/>
      <c r="Y414" s="23"/>
    </row>
    <row r="415" spans="1:25" outlineLevel="1">
      <c r="A415" s="16"/>
      <c r="B415" s="20"/>
      <c r="C415" s="20"/>
      <c r="D415" s="20"/>
      <c r="E415" s="20"/>
      <c r="F415" s="21"/>
      <c r="G415" s="21"/>
      <c r="H415" s="21"/>
      <c r="I415" s="21"/>
      <c r="J415" s="20"/>
      <c r="K415" s="21"/>
      <c r="L415" s="21"/>
      <c r="M415" s="21"/>
      <c r="N415" s="21"/>
      <c r="O415" s="39"/>
      <c r="P415" s="21"/>
      <c r="Q415" s="21"/>
      <c r="R415" s="20"/>
      <c r="S415" s="22">
        <f t="shared" si="31"/>
        <v>0</v>
      </c>
      <c r="T415" s="22">
        <f>COUNTIF($V$4:V415,V415)</f>
        <v>144</v>
      </c>
      <c r="U415" s="22" t="str">
        <f>IF(T415=1,COUNTIF($T$4:T415,1),"")</f>
        <v/>
      </c>
      <c r="V415" s="23" t="str">
        <f t="shared" si="32"/>
        <v/>
      </c>
      <c r="W415" s="23">
        <f t="shared" si="33"/>
        <v>0</v>
      </c>
      <c r="X415" s="24"/>
      <c r="Y415" s="23"/>
    </row>
    <row r="416" spans="1:25" outlineLevel="1">
      <c r="A416" s="16"/>
      <c r="B416" s="20"/>
      <c r="C416" s="20"/>
      <c r="D416" s="20"/>
      <c r="E416" s="20"/>
      <c r="F416" s="21"/>
      <c r="G416" s="21"/>
      <c r="H416" s="21"/>
      <c r="I416" s="21"/>
      <c r="J416" s="20"/>
      <c r="K416" s="21"/>
      <c r="L416" s="21"/>
      <c r="M416" s="21"/>
      <c r="N416" s="21"/>
      <c r="O416" s="39"/>
      <c r="P416" s="21"/>
      <c r="Q416" s="21"/>
      <c r="R416" s="20"/>
      <c r="S416" s="22">
        <f t="shared" si="31"/>
        <v>0</v>
      </c>
      <c r="T416" s="22">
        <f>COUNTIF($V$4:V416,V416)</f>
        <v>145</v>
      </c>
      <c r="U416" s="22" t="str">
        <f>IF(T416=1,COUNTIF($T$4:T416,1),"")</f>
        <v/>
      </c>
      <c r="V416" s="23" t="str">
        <f t="shared" si="32"/>
        <v/>
      </c>
      <c r="W416" s="23">
        <f t="shared" si="33"/>
        <v>0</v>
      </c>
      <c r="X416" s="24"/>
      <c r="Y416" s="23"/>
    </row>
    <row r="417" spans="1:25" outlineLevel="1">
      <c r="A417" s="16"/>
      <c r="B417" s="20"/>
      <c r="C417" s="20"/>
      <c r="D417" s="20"/>
      <c r="E417" s="20"/>
      <c r="F417" s="21"/>
      <c r="G417" s="21"/>
      <c r="H417" s="21"/>
      <c r="I417" s="21"/>
      <c r="J417" s="20"/>
      <c r="K417" s="21"/>
      <c r="L417" s="21"/>
      <c r="M417" s="21"/>
      <c r="N417" s="21"/>
      <c r="O417" s="39"/>
      <c r="P417" s="21"/>
      <c r="Q417" s="21"/>
      <c r="R417" s="20"/>
      <c r="S417" s="22">
        <f t="shared" si="31"/>
        <v>0</v>
      </c>
      <c r="T417" s="22">
        <f>COUNTIF($V$4:V417,V417)</f>
        <v>146</v>
      </c>
      <c r="U417" s="22" t="str">
        <f>IF(T417=1,COUNTIF($T$4:T417,1),"")</f>
        <v/>
      </c>
      <c r="V417" s="23" t="str">
        <f t="shared" si="32"/>
        <v/>
      </c>
      <c r="W417" s="23">
        <f t="shared" si="33"/>
        <v>0</v>
      </c>
      <c r="X417" s="24"/>
      <c r="Y417" s="23"/>
    </row>
    <row r="418" spans="1:25" outlineLevel="1">
      <c r="A418" s="16"/>
      <c r="B418" s="20"/>
      <c r="C418" s="20"/>
      <c r="D418" s="20"/>
      <c r="E418" s="20"/>
      <c r="F418" s="21"/>
      <c r="G418" s="21"/>
      <c r="H418" s="21"/>
      <c r="I418" s="21"/>
      <c r="J418" s="20"/>
      <c r="K418" s="21"/>
      <c r="L418" s="21"/>
      <c r="M418" s="21"/>
      <c r="N418" s="21"/>
      <c r="O418" s="39"/>
      <c r="P418" s="21"/>
      <c r="Q418" s="21"/>
      <c r="R418" s="20"/>
      <c r="S418" s="22">
        <f t="shared" si="31"/>
        <v>0</v>
      </c>
      <c r="T418" s="22">
        <f>COUNTIF($V$4:V418,V418)</f>
        <v>147</v>
      </c>
      <c r="U418" s="22" t="str">
        <f>IF(T418=1,COUNTIF($T$4:T418,1),"")</f>
        <v/>
      </c>
      <c r="V418" s="23" t="str">
        <f t="shared" si="32"/>
        <v/>
      </c>
      <c r="W418" s="23">
        <f t="shared" si="33"/>
        <v>0</v>
      </c>
      <c r="X418" s="24"/>
      <c r="Y418" s="23"/>
    </row>
    <row r="419" spans="1:25" outlineLevel="1">
      <c r="A419" s="16"/>
      <c r="B419" s="20"/>
      <c r="C419" s="20"/>
      <c r="D419" s="20"/>
      <c r="E419" s="20"/>
      <c r="F419" s="21"/>
      <c r="G419" s="21"/>
      <c r="H419" s="21"/>
      <c r="I419" s="21"/>
      <c r="J419" s="20"/>
      <c r="K419" s="21"/>
      <c r="L419" s="21"/>
      <c r="M419" s="21"/>
      <c r="N419" s="21"/>
      <c r="O419" s="39"/>
      <c r="P419" s="21"/>
      <c r="Q419" s="21"/>
      <c r="R419" s="20"/>
      <c r="S419" s="22">
        <f t="shared" si="31"/>
        <v>0</v>
      </c>
      <c r="T419" s="22">
        <f>COUNTIF($V$4:V419,V419)</f>
        <v>148</v>
      </c>
      <c r="U419" s="22" t="str">
        <f>IF(T419=1,COUNTIF($T$4:T419,1),"")</f>
        <v/>
      </c>
      <c r="V419" s="23" t="str">
        <f t="shared" si="32"/>
        <v/>
      </c>
      <c r="W419" s="23">
        <f t="shared" si="33"/>
        <v>0</v>
      </c>
      <c r="X419" s="24"/>
      <c r="Y419" s="23"/>
    </row>
    <row r="420" spans="1:25" outlineLevel="1">
      <c r="A420" s="16"/>
      <c r="B420" s="20"/>
      <c r="C420" s="20"/>
      <c r="D420" s="20"/>
      <c r="E420" s="20"/>
      <c r="F420" s="21"/>
      <c r="G420" s="21"/>
      <c r="H420" s="21"/>
      <c r="I420" s="21"/>
      <c r="J420" s="20"/>
      <c r="K420" s="21"/>
      <c r="L420" s="21"/>
      <c r="M420" s="21"/>
      <c r="N420" s="21"/>
      <c r="O420" s="39"/>
      <c r="P420" s="21"/>
      <c r="Q420" s="21"/>
      <c r="R420" s="20"/>
      <c r="S420" s="22">
        <f t="shared" si="31"/>
        <v>0</v>
      </c>
      <c r="T420" s="22">
        <f>COUNTIF($V$4:V420,V420)</f>
        <v>149</v>
      </c>
      <c r="U420" s="22" t="str">
        <f>IF(T420=1,COUNTIF($T$4:T420,1),"")</f>
        <v/>
      </c>
      <c r="V420" s="23" t="str">
        <f t="shared" si="32"/>
        <v/>
      </c>
      <c r="W420" s="23">
        <f t="shared" si="33"/>
        <v>0</v>
      </c>
      <c r="X420" s="24"/>
      <c r="Y420" s="23"/>
    </row>
    <row r="421" spans="1:25" outlineLevel="1">
      <c r="A421" s="16"/>
      <c r="B421" s="20"/>
      <c r="C421" s="20"/>
      <c r="D421" s="20"/>
      <c r="E421" s="20"/>
      <c r="F421" s="21"/>
      <c r="G421" s="21"/>
      <c r="H421" s="21"/>
      <c r="I421" s="21"/>
      <c r="J421" s="20"/>
      <c r="K421" s="21"/>
      <c r="L421" s="21"/>
      <c r="M421" s="21"/>
      <c r="N421" s="21"/>
      <c r="O421" s="39"/>
      <c r="P421" s="21"/>
      <c r="Q421" s="21"/>
      <c r="R421" s="20"/>
      <c r="S421" s="22">
        <f t="shared" si="31"/>
        <v>0</v>
      </c>
      <c r="T421" s="22">
        <f>COUNTIF($V$4:V421,V421)</f>
        <v>150</v>
      </c>
      <c r="U421" s="22" t="str">
        <f>IF(T421=1,COUNTIF($T$4:T421,1),"")</f>
        <v/>
      </c>
      <c r="V421" s="23" t="str">
        <f t="shared" si="32"/>
        <v/>
      </c>
      <c r="W421" s="23">
        <f t="shared" si="33"/>
        <v>0</v>
      </c>
      <c r="X421" s="24"/>
      <c r="Y421" s="23"/>
    </row>
    <row r="422" spans="1:25" outlineLevel="1">
      <c r="A422" s="16"/>
      <c r="B422" s="20"/>
      <c r="C422" s="20"/>
      <c r="D422" s="20"/>
      <c r="E422" s="20"/>
      <c r="F422" s="21"/>
      <c r="G422" s="21"/>
      <c r="H422" s="21"/>
      <c r="I422" s="21"/>
      <c r="J422" s="20"/>
      <c r="K422" s="21"/>
      <c r="L422" s="21"/>
      <c r="M422" s="21"/>
      <c r="N422" s="21"/>
      <c r="O422" s="39"/>
      <c r="P422" s="21"/>
      <c r="Q422" s="21"/>
      <c r="R422" s="20"/>
      <c r="S422" s="22">
        <f t="shared" si="31"/>
        <v>0</v>
      </c>
      <c r="T422" s="22">
        <f>COUNTIF($V$4:V422,V422)</f>
        <v>151</v>
      </c>
      <c r="U422" s="22" t="str">
        <f>IF(T422=1,COUNTIF($T$4:T422,1),"")</f>
        <v/>
      </c>
      <c r="V422" s="23" t="str">
        <f t="shared" si="32"/>
        <v/>
      </c>
      <c r="W422" s="23">
        <f t="shared" si="33"/>
        <v>0</v>
      </c>
      <c r="X422" s="24"/>
      <c r="Y422" s="23"/>
    </row>
    <row r="423" spans="1:25" outlineLevel="1">
      <c r="A423" s="16"/>
      <c r="B423" s="20"/>
      <c r="C423" s="20"/>
      <c r="D423" s="20"/>
      <c r="E423" s="20"/>
      <c r="F423" s="21"/>
      <c r="G423" s="21"/>
      <c r="H423" s="21"/>
      <c r="I423" s="21"/>
      <c r="J423" s="20"/>
      <c r="K423" s="21"/>
      <c r="L423" s="21"/>
      <c r="M423" s="21"/>
      <c r="N423" s="21"/>
      <c r="O423" s="39"/>
      <c r="P423" s="21"/>
      <c r="Q423" s="21"/>
      <c r="R423" s="20"/>
      <c r="S423" s="22">
        <f t="shared" si="31"/>
        <v>0</v>
      </c>
      <c r="T423" s="22">
        <f>COUNTIF($V$4:V423,V423)</f>
        <v>152</v>
      </c>
      <c r="U423" s="22" t="str">
        <f>IF(T423=1,COUNTIF($T$4:T423,1),"")</f>
        <v/>
      </c>
      <c r="V423" s="23" t="str">
        <f t="shared" si="32"/>
        <v/>
      </c>
      <c r="W423" s="23">
        <f t="shared" si="33"/>
        <v>0</v>
      </c>
      <c r="X423" s="24"/>
      <c r="Y423" s="23"/>
    </row>
    <row r="424" spans="1:25" outlineLevel="1">
      <c r="A424" s="16"/>
      <c r="B424" s="20"/>
      <c r="C424" s="20"/>
      <c r="D424" s="20"/>
      <c r="E424" s="20"/>
      <c r="F424" s="21"/>
      <c r="G424" s="21"/>
      <c r="H424" s="21"/>
      <c r="I424" s="21"/>
      <c r="J424" s="20"/>
      <c r="K424" s="21"/>
      <c r="L424" s="21"/>
      <c r="M424" s="21"/>
      <c r="N424" s="21"/>
      <c r="O424" s="39"/>
      <c r="P424" s="21"/>
      <c r="Q424" s="21"/>
      <c r="R424" s="20"/>
      <c r="S424" s="22">
        <f t="shared" si="31"/>
        <v>0</v>
      </c>
      <c r="T424" s="22">
        <f>COUNTIF($V$4:V424,V424)</f>
        <v>153</v>
      </c>
      <c r="U424" s="22" t="str">
        <f>IF(T424=1,COUNTIF($T$4:T424,1),"")</f>
        <v/>
      </c>
      <c r="V424" s="23" t="str">
        <f t="shared" si="32"/>
        <v/>
      </c>
      <c r="W424" s="23">
        <f t="shared" si="33"/>
        <v>0</v>
      </c>
      <c r="X424" s="24"/>
      <c r="Y424" s="23"/>
    </row>
    <row r="425" spans="1:25" outlineLevel="1">
      <c r="A425" s="16"/>
      <c r="B425" s="20"/>
      <c r="C425" s="20"/>
      <c r="D425" s="20"/>
      <c r="E425" s="20"/>
      <c r="F425" s="21"/>
      <c r="G425" s="21"/>
      <c r="H425" s="21"/>
      <c r="I425" s="21"/>
      <c r="J425" s="20"/>
      <c r="K425" s="21"/>
      <c r="L425" s="21"/>
      <c r="M425" s="21"/>
      <c r="N425" s="21"/>
      <c r="O425" s="21"/>
      <c r="P425" s="21"/>
      <c r="Q425" s="21"/>
      <c r="R425" s="20"/>
      <c r="S425" s="22">
        <f t="shared" si="31"/>
        <v>0</v>
      </c>
      <c r="T425" s="22">
        <f>COUNTIF($V$4:V425,V425)</f>
        <v>154</v>
      </c>
      <c r="U425" s="22" t="str">
        <f>IF(T425=1,COUNTIF($T$4:T425,1),"")</f>
        <v/>
      </c>
      <c r="V425" s="23" t="str">
        <f t="shared" si="32"/>
        <v/>
      </c>
      <c r="W425" s="23">
        <f t="shared" si="33"/>
        <v>0</v>
      </c>
      <c r="X425" s="24"/>
      <c r="Y425" s="23"/>
    </row>
    <row r="426" spans="1:25" outlineLevel="1">
      <c r="A426" s="16"/>
      <c r="B426" s="20"/>
      <c r="C426" s="20"/>
      <c r="D426" s="20"/>
      <c r="E426" s="20"/>
      <c r="F426" s="21"/>
      <c r="G426" s="21"/>
      <c r="H426" s="21"/>
      <c r="I426" s="21"/>
      <c r="J426" s="20"/>
      <c r="K426" s="21"/>
      <c r="L426" s="21"/>
      <c r="M426" s="21"/>
      <c r="N426" s="21"/>
      <c r="O426" s="21"/>
      <c r="P426" s="21"/>
      <c r="Q426" s="21"/>
      <c r="R426" s="20"/>
      <c r="S426" s="22">
        <f t="shared" si="31"/>
        <v>0</v>
      </c>
      <c r="T426" s="22">
        <f>COUNTIF($V$4:V426,V426)</f>
        <v>155</v>
      </c>
      <c r="U426" s="22" t="str">
        <f>IF(T426=1,COUNTIF($T$4:T426,1),"")</f>
        <v/>
      </c>
      <c r="V426" s="23" t="str">
        <f t="shared" si="32"/>
        <v/>
      </c>
      <c r="W426" s="23">
        <f t="shared" si="33"/>
        <v>0</v>
      </c>
      <c r="X426" s="24"/>
      <c r="Y426" s="23"/>
    </row>
    <row r="427" spans="1:25" outlineLevel="1">
      <c r="A427" s="16"/>
      <c r="B427" s="20"/>
      <c r="C427" s="20"/>
      <c r="D427" s="20"/>
      <c r="E427" s="20"/>
      <c r="F427" s="21"/>
      <c r="G427" s="21"/>
      <c r="H427" s="21"/>
      <c r="I427" s="21"/>
      <c r="J427" s="20"/>
      <c r="K427" s="21"/>
      <c r="L427" s="21"/>
      <c r="M427" s="21"/>
      <c r="N427" s="21"/>
      <c r="O427" s="21"/>
      <c r="P427" s="21"/>
      <c r="Q427" s="21"/>
      <c r="R427" s="20"/>
      <c r="S427" s="22">
        <f t="shared" si="31"/>
        <v>0</v>
      </c>
      <c r="T427" s="22">
        <f>COUNTIF($V$4:V427,V427)</f>
        <v>156</v>
      </c>
      <c r="U427" s="22" t="str">
        <f>IF(T427=1,COUNTIF($T$4:T427,1),"")</f>
        <v/>
      </c>
      <c r="V427" s="23" t="str">
        <f t="shared" si="32"/>
        <v/>
      </c>
      <c r="W427" s="23">
        <f t="shared" si="33"/>
        <v>0</v>
      </c>
      <c r="X427" s="24"/>
      <c r="Y427" s="23"/>
    </row>
    <row r="428" spans="1:25" outlineLevel="1">
      <c r="A428" s="16"/>
      <c r="B428" s="20"/>
      <c r="C428" s="20"/>
      <c r="D428" s="20"/>
      <c r="E428" s="20"/>
      <c r="F428" s="21"/>
      <c r="G428" s="21"/>
      <c r="H428" s="21"/>
      <c r="I428" s="21"/>
      <c r="J428" s="20"/>
      <c r="K428" s="21"/>
      <c r="L428" s="21"/>
      <c r="M428" s="21"/>
      <c r="N428" s="21"/>
      <c r="O428" s="21"/>
      <c r="P428" s="21"/>
      <c r="Q428" s="21"/>
      <c r="R428" s="20"/>
      <c r="S428" s="22">
        <f t="shared" si="31"/>
        <v>0</v>
      </c>
      <c r="T428" s="22">
        <f>COUNTIF($V$4:V428,V428)</f>
        <v>157</v>
      </c>
      <c r="U428" s="22" t="str">
        <f>IF(T428=1,COUNTIF($T$4:T428,1),"")</f>
        <v/>
      </c>
      <c r="V428" s="23" t="str">
        <f t="shared" si="32"/>
        <v/>
      </c>
      <c r="W428" s="23">
        <f t="shared" si="33"/>
        <v>0</v>
      </c>
      <c r="X428" s="24"/>
      <c r="Y428" s="23"/>
    </row>
    <row r="429" spans="1:25" outlineLevel="1">
      <c r="A429" s="16"/>
      <c r="B429" s="20"/>
      <c r="C429" s="20"/>
      <c r="D429" s="20"/>
      <c r="E429" s="20"/>
      <c r="F429" s="21"/>
      <c r="G429" s="21"/>
      <c r="H429" s="21"/>
      <c r="I429" s="21"/>
      <c r="J429" s="20"/>
      <c r="K429" s="21"/>
      <c r="L429" s="21"/>
      <c r="M429" s="21"/>
      <c r="N429" s="21"/>
      <c r="O429" s="21"/>
      <c r="P429" s="21"/>
      <c r="Q429" s="21"/>
      <c r="R429" s="20"/>
      <c r="S429" s="22">
        <f t="shared" si="31"/>
        <v>0</v>
      </c>
      <c r="T429" s="22">
        <f>COUNTIF($V$4:V429,V429)</f>
        <v>158</v>
      </c>
      <c r="U429" s="22" t="str">
        <f>IF(T429=1,COUNTIF($T$4:T429,1),"")</f>
        <v/>
      </c>
      <c r="V429" s="23" t="str">
        <f t="shared" si="32"/>
        <v/>
      </c>
      <c r="W429" s="23">
        <f t="shared" si="33"/>
        <v>0</v>
      </c>
      <c r="X429" s="24"/>
      <c r="Y429" s="23"/>
    </row>
    <row r="430" spans="1:25" outlineLevel="1">
      <c r="A430" s="16"/>
      <c r="B430" s="20"/>
      <c r="C430" s="20"/>
      <c r="D430" s="20"/>
      <c r="E430" s="20"/>
      <c r="F430" s="21"/>
      <c r="G430" s="21"/>
      <c r="H430" s="21"/>
      <c r="I430" s="21"/>
      <c r="J430" s="20"/>
      <c r="K430" s="21"/>
      <c r="L430" s="21"/>
      <c r="M430" s="21"/>
      <c r="N430" s="21"/>
      <c r="O430" s="21"/>
      <c r="P430" s="21"/>
      <c r="Q430" s="21"/>
      <c r="R430" s="20"/>
      <c r="S430" s="22">
        <f t="shared" si="31"/>
        <v>0</v>
      </c>
      <c r="T430" s="22">
        <f>COUNTIF($V$4:V430,V430)</f>
        <v>159</v>
      </c>
      <c r="U430" s="22" t="str">
        <f>IF(T430=1,COUNTIF($T$4:T430,1),"")</f>
        <v/>
      </c>
      <c r="V430" s="23" t="str">
        <f t="shared" si="32"/>
        <v/>
      </c>
      <c r="W430" s="23">
        <f t="shared" si="33"/>
        <v>0</v>
      </c>
      <c r="X430" s="24"/>
      <c r="Y430" s="23"/>
    </row>
    <row r="431" spans="1:25" outlineLevel="1">
      <c r="A431" s="16"/>
      <c r="B431" s="20"/>
      <c r="C431" s="20"/>
      <c r="D431" s="20"/>
      <c r="E431" s="20"/>
      <c r="F431" s="21"/>
      <c r="G431" s="21"/>
      <c r="H431" s="21"/>
      <c r="I431" s="21"/>
      <c r="J431" s="20"/>
      <c r="K431" s="21"/>
      <c r="L431" s="21"/>
      <c r="M431" s="21"/>
      <c r="N431" s="21"/>
      <c r="O431" s="21"/>
      <c r="P431" s="21"/>
      <c r="Q431" s="21"/>
      <c r="R431" s="20"/>
      <c r="S431" s="22">
        <f t="shared" si="31"/>
        <v>0</v>
      </c>
      <c r="T431" s="22">
        <f>COUNTIF($V$4:V431,V431)</f>
        <v>160</v>
      </c>
      <c r="U431" s="22" t="str">
        <f>IF(T431=1,COUNTIF($T$4:T431,1),"")</f>
        <v/>
      </c>
      <c r="V431" s="23" t="str">
        <f t="shared" si="32"/>
        <v/>
      </c>
      <c r="W431" s="23">
        <f t="shared" si="33"/>
        <v>0</v>
      </c>
      <c r="X431" s="24"/>
      <c r="Y431" s="23"/>
    </row>
    <row r="432" spans="1:25" outlineLevel="1">
      <c r="A432" s="16"/>
      <c r="B432" s="20"/>
      <c r="C432" s="20"/>
      <c r="D432" s="20"/>
      <c r="E432" s="20"/>
      <c r="F432" s="21"/>
      <c r="G432" s="21"/>
      <c r="H432" s="21"/>
      <c r="I432" s="21"/>
      <c r="J432" s="20"/>
      <c r="K432" s="21"/>
      <c r="L432" s="21"/>
      <c r="M432" s="21"/>
      <c r="N432" s="21"/>
      <c r="O432" s="21"/>
      <c r="P432" s="21"/>
      <c r="Q432" s="21"/>
      <c r="R432" s="20"/>
      <c r="S432" s="22">
        <f t="shared" si="31"/>
        <v>0</v>
      </c>
      <c r="T432" s="22">
        <f>COUNTIF($V$4:V432,V432)</f>
        <v>161</v>
      </c>
      <c r="U432" s="22" t="str">
        <f>IF(T432=1,COUNTIF($T$4:T432,1),"")</f>
        <v/>
      </c>
      <c r="V432" s="23" t="str">
        <f t="shared" si="32"/>
        <v/>
      </c>
      <c r="W432" s="23">
        <f t="shared" si="33"/>
        <v>0</v>
      </c>
      <c r="X432" s="24"/>
      <c r="Y432" s="23"/>
    </row>
    <row r="433" spans="1:256" outlineLevel="1">
      <c r="A433" s="16"/>
      <c r="B433" s="20"/>
      <c r="C433" s="20"/>
      <c r="D433" s="20"/>
      <c r="E433" s="20"/>
      <c r="F433" s="21"/>
      <c r="G433" s="21"/>
      <c r="H433" s="21"/>
      <c r="I433" s="21"/>
      <c r="J433" s="20"/>
      <c r="K433" s="21"/>
      <c r="L433" s="21"/>
      <c r="M433" s="21"/>
      <c r="N433" s="21"/>
      <c r="O433" s="21"/>
      <c r="P433" s="21"/>
      <c r="Q433" s="21"/>
      <c r="R433" s="20"/>
      <c r="S433" s="22">
        <f t="shared" si="31"/>
        <v>0</v>
      </c>
      <c r="T433" s="22">
        <f>COUNTIF($V$4:V433,V433)</f>
        <v>162</v>
      </c>
      <c r="U433" s="22" t="str">
        <f>IF(T433=1,COUNTIF($T$4:T433,1),"")</f>
        <v/>
      </c>
      <c r="V433" s="23" t="str">
        <f t="shared" si="32"/>
        <v/>
      </c>
      <c r="W433" s="23">
        <f t="shared" si="33"/>
        <v>0</v>
      </c>
      <c r="X433" s="24"/>
      <c r="Y433" s="23"/>
    </row>
    <row r="434" spans="1:256" outlineLevel="1">
      <c r="A434" s="16"/>
      <c r="B434" s="20"/>
      <c r="C434" s="20"/>
      <c r="D434" s="20"/>
      <c r="E434" s="20"/>
      <c r="F434" s="21"/>
      <c r="G434" s="21"/>
      <c r="H434" s="21"/>
      <c r="I434" s="21"/>
      <c r="J434" s="20"/>
      <c r="K434" s="21"/>
      <c r="L434" s="21"/>
      <c r="M434" s="21"/>
      <c r="N434" s="21"/>
      <c r="O434" s="21"/>
      <c r="P434" s="21"/>
      <c r="Q434" s="21"/>
      <c r="R434" s="20"/>
      <c r="S434" s="22">
        <f t="shared" si="31"/>
        <v>0</v>
      </c>
      <c r="T434" s="22">
        <f>COUNTIF($V$4:V434,V434)</f>
        <v>163</v>
      </c>
      <c r="U434" s="22" t="str">
        <f>IF(T434=1,COUNTIF($T$4:T434,1),"")</f>
        <v/>
      </c>
      <c r="V434" s="23" t="str">
        <f t="shared" si="32"/>
        <v/>
      </c>
      <c r="W434" s="23">
        <f t="shared" si="33"/>
        <v>0</v>
      </c>
      <c r="X434" s="24"/>
      <c r="Y434" s="23"/>
    </row>
    <row r="435" spans="1:256" outlineLevel="1">
      <c r="A435" s="16"/>
      <c r="B435" s="20"/>
      <c r="C435" s="20"/>
      <c r="D435" s="20"/>
      <c r="E435" s="20"/>
      <c r="F435" s="21"/>
      <c r="G435" s="21"/>
      <c r="H435" s="21"/>
      <c r="I435" s="21"/>
      <c r="J435" s="20"/>
      <c r="K435" s="21"/>
      <c r="L435" s="21"/>
      <c r="M435" s="21"/>
      <c r="N435" s="21"/>
      <c r="O435" s="21"/>
      <c r="P435" s="21"/>
      <c r="Q435" s="21"/>
      <c r="R435" s="20"/>
      <c r="S435" s="22">
        <f t="shared" si="31"/>
        <v>0</v>
      </c>
      <c r="T435" s="22">
        <f>COUNTIF($V$4:V435,V435)</f>
        <v>164</v>
      </c>
      <c r="U435" s="22" t="str">
        <f>IF(T435=1,COUNTIF($T$4:T435,1),"")</f>
        <v/>
      </c>
      <c r="V435" s="23" t="str">
        <f t="shared" si="32"/>
        <v/>
      </c>
      <c r="W435" s="23">
        <f t="shared" si="33"/>
        <v>0</v>
      </c>
      <c r="X435" s="24"/>
      <c r="Y435" s="23"/>
    </row>
    <row r="436" spans="1:256" outlineLevel="1">
      <c r="A436" s="16"/>
      <c r="B436" s="20"/>
      <c r="C436" s="20"/>
      <c r="D436" s="20"/>
      <c r="E436" s="20"/>
      <c r="F436" s="21"/>
      <c r="G436" s="21"/>
      <c r="H436" s="21"/>
      <c r="I436" s="21"/>
      <c r="J436" s="20"/>
      <c r="K436" s="21"/>
      <c r="L436" s="21"/>
      <c r="M436" s="21"/>
      <c r="N436" s="21"/>
      <c r="O436" s="21"/>
      <c r="P436" s="21"/>
      <c r="Q436" s="21"/>
      <c r="R436" s="20"/>
      <c r="S436" s="22">
        <f t="shared" si="31"/>
        <v>0</v>
      </c>
      <c r="T436" s="22">
        <f>COUNTIF($V$4:V436,V436)</f>
        <v>165</v>
      </c>
      <c r="U436" s="22" t="str">
        <f>IF(T436=1,COUNTIF($T$4:T436,1),"")</f>
        <v/>
      </c>
      <c r="V436" s="23" t="str">
        <f t="shared" si="32"/>
        <v/>
      </c>
      <c r="W436" s="23">
        <f t="shared" si="33"/>
        <v>0</v>
      </c>
      <c r="X436" s="24"/>
      <c r="Y436" s="23"/>
    </row>
    <row r="437" spans="1:256" outlineLevel="1">
      <c r="A437" s="16"/>
      <c r="B437" s="20"/>
      <c r="C437" s="20"/>
      <c r="D437" s="20"/>
      <c r="E437" s="20"/>
      <c r="F437" s="21"/>
      <c r="G437" s="21"/>
      <c r="H437" s="21"/>
      <c r="I437" s="21"/>
      <c r="J437" s="20"/>
      <c r="K437" s="21"/>
      <c r="L437" s="21"/>
      <c r="M437" s="21"/>
      <c r="N437" s="21"/>
      <c r="O437" s="21"/>
      <c r="P437" s="21"/>
      <c r="Q437" s="21"/>
      <c r="R437" s="20"/>
      <c r="S437" s="22">
        <f t="shared" si="31"/>
        <v>0</v>
      </c>
      <c r="T437" s="22">
        <f>COUNTIF($V$4:V437,V437)</f>
        <v>166</v>
      </c>
      <c r="U437" s="22" t="str">
        <f>IF(T437=1,COUNTIF($T$4:T437,1),"")</f>
        <v/>
      </c>
      <c r="V437" s="23" t="str">
        <f t="shared" si="32"/>
        <v/>
      </c>
      <c r="W437" s="23">
        <f t="shared" si="33"/>
        <v>0</v>
      </c>
      <c r="X437" s="24"/>
      <c r="Y437" s="23"/>
    </row>
    <row r="438" spans="1:256" outlineLevel="1">
      <c r="A438" s="16"/>
      <c r="B438" s="20"/>
      <c r="C438" s="20"/>
      <c r="D438" s="20"/>
      <c r="E438" s="20"/>
      <c r="F438" s="21"/>
      <c r="G438" s="21"/>
      <c r="H438" s="21"/>
      <c r="I438" s="21"/>
      <c r="J438" s="20"/>
      <c r="K438" s="21"/>
      <c r="L438" s="21"/>
      <c r="M438" s="21"/>
      <c r="N438" s="21"/>
      <c r="O438" s="21"/>
      <c r="P438" s="21"/>
      <c r="Q438" s="21"/>
      <c r="R438" s="20"/>
      <c r="S438" s="22">
        <f t="shared" si="31"/>
        <v>0</v>
      </c>
      <c r="T438" s="22">
        <f>COUNTIF($V$4:V438,V438)</f>
        <v>167</v>
      </c>
      <c r="U438" s="22" t="str">
        <f>IF(T438=1,COUNTIF($T$4:T438,1),"")</f>
        <v/>
      </c>
      <c r="V438" s="23" t="str">
        <f t="shared" si="32"/>
        <v/>
      </c>
      <c r="W438" s="23">
        <f t="shared" si="33"/>
        <v>0</v>
      </c>
      <c r="X438" s="24"/>
      <c r="Y438" s="23"/>
    </row>
    <row r="439" spans="1:256" outlineLevel="1">
      <c r="A439" s="16"/>
      <c r="B439" s="20"/>
      <c r="C439" s="20"/>
      <c r="D439" s="20"/>
      <c r="E439" s="20"/>
      <c r="F439" s="21"/>
      <c r="G439" s="21"/>
      <c r="H439" s="21"/>
      <c r="I439" s="21"/>
      <c r="J439" s="20"/>
      <c r="K439" s="21"/>
      <c r="L439" s="21"/>
      <c r="M439" s="21"/>
      <c r="N439" s="21"/>
      <c r="O439" s="21"/>
      <c r="P439" s="21"/>
      <c r="Q439" s="21"/>
      <c r="R439" s="20"/>
      <c r="S439" s="22">
        <f t="shared" si="31"/>
        <v>0</v>
      </c>
      <c r="T439" s="22">
        <f>COUNTIF($V$4:V439,V439)</f>
        <v>168</v>
      </c>
      <c r="U439" s="22" t="str">
        <f>IF(T439=1,COUNTIF($T$4:T439,1),"")</f>
        <v/>
      </c>
      <c r="V439" s="23" t="str">
        <f t="shared" si="32"/>
        <v/>
      </c>
      <c r="W439" s="23">
        <f t="shared" si="33"/>
        <v>0</v>
      </c>
      <c r="X439" s="24"/>
      <c r="Y439" s="23"/>
    </row>
    <row r="440" spans="1:256" outlineLevel="1">
      <c r="A440" s="16"/>
      <c r="B440" s="20"/>
      <c r="C440" s="20"/>
      <c r="D440" s="20"/>
      <c r="E440" s="20"/>
      <c r="F440" s="21"/>
      <c r="G440" s="21"/>
      <c r="H440" s="21"/>
      <c r="I440" s="21"/>
      <c r="J440" s="20"/>
      <c r="K440" s="21"/>
      <c r="L440" s="21"/>
      <c r="M440" s="21"/>
      <c r="N440" s="21"/>
      <c r="O440" s="21"/>
      <c r="P440" s="21"/>
      <c r="Q440" s="21"/>
      <c r="R440" s="20"/>
      <c r="S440" s="22">
        <f t="shared" si="31"/>
        <v>0</v>
      </c>
      <c r="T440" s="22">
        <f>COUNTIF($V$4:V440,V440)</f>
        <v>169</v>
      </c>
      <c r="U440" s="22" t="str">
        <f>IF(T440=1,COUNTIF($T$4:T440,1),"")</f>
        <v/>
      </c>
      <c r="V440" s="23" t="str">
        <f t="shared" si="32"/>
        <v/>
      </c>
      <c r="W440" s="23">
        <f t="shared" si="33"/>
        <v>0</v>
      </c>
      <c r="X440" s="24"/>
      <c r="Y440" s="23"/>
    </row>
    <row r="441" spans="1:256" outlineLevel="1">
      <c r="A441" s="16"/>
      <c r="B441" s="20"/>
      <c r="C441" s="20"/>
      <c r="D441" s="20"/>
      <c r="E441" s="20"/>
      <c r="F441" s="21"/>
      <c r="G441" s="21"/>
      <c r="H441" s="21"/>
      <c r="I441" s="21"/>
      <c r="J441" s="20"/>
      <c r="K441" s="21"/>
      <c r="L441" s="21"/>
      <c r="M441" s="21"/>
      <c r="N441" s="21"/>
      <c r="O441" s="21"/>
      <c r="P441" s="21"/>
      <c r="Q441" s="21"/>
      <c r="R441" s="20"/>
      <c r="S441" s="22">
        <f t="shared" si="31"/>
        <v>0</v>
      </c>
      <c r="T441" s="22">
        <f>COUNTIF($V$4:V441,V441)</f>
        <v>170</v>
      </c>
      <c r="U441" s="22" t="str">
        <f>IF(T441=1,COUNTIF($T$4:T441,1),"")</f>
        <v/>
      </c>
      <c r="V441" s="23" t="str">
        <f t="shared" si="32"/>
        <v/>
      </c>
      <c r="W441" s="23">
        <f t="shared" si="33"/>
        <v>0</v>
      </c>
      <c r="X441" s="24"/>
      <c r="Y441" s="23"/>
    </row>
    <row r="442" spans="1:256" outlineLevel="1">
      <c r="A442" s="16"/>
      <c r="B442" s="20"/>
      <c r="C442" s="20"/>
      <c r="D442" s="20"/>
      <c r="E442" s="20"/>
      <c r="F442" s="21"/>
      <c r="G442" s="21"/>
      <c r="H442" s="21"/>
      <c r="I442" s="21"/>
      <c r="J442" s="20"/>
      <c r="K442" s="21"/>
      <c r="L442" s="21"/>
      <c r="M442" s="21"/>
      <c r="N442" s="21"/>
      <c r="O442" s="21"/>
      <c r="P442" s="21"/>
      <c r="Q442" s="21"/>
      <c r="R442" s="20"/>
      <c r="S442" s="22">
        <f t="shared" si="31"/>
        <v>0</v>
      </c>
      <c r="T442" s="22">
        <f>COUNTIF($V$4:V442,V442)</f>
        <v>171</v>
      </c>
      <c r="U442" s="22" t="str">
        <f>IF(T442=1,COUNTIF($T$4:T442,1),"")</f>
        <v/>
      </c>
      <c r="V442" s="23" t="str">
        <f t="shared" si="32"/>
        <v/>
      </c>
      <c r="W442" s="23">
        <f t="shared" si="33"/>
        <v>0</v>
      </c>
      <c r="X442" s="24"/>
      <c r="Y442" s="23"/>
    </row>
    <row r="443" spans="1:256" outlineLevel="1">
      <c r="A443" s="16"/>
      <c r="B443" s="20"/>
      <c r="C443" s="20"/>
      <c r="D443" s="20"/>
      <c r="E443" s="20"/>
      <c r="F443" s="21"/>
      <c r="G443" s="21"/>
      <c r="H443" s="21"/>
      <c r="I443" s="21"/>
      <c r="J443" s="20"/>
      <c r="K443" s="21"/>
      <c r="L443" s="21"/>
      <c r="M443" s="21"/>
      <c r="N443" s="21"/>
      <c r="O443" s="21"/>
      <c r="P443" s="21"/>
      <c r="Q443" s="21"/>
      <c r="R443" s="20"/>
      <c r="S443" s="22">
        <f t="shared" si="31"/>
        <v>0</v>
      </c>
      <c r="T443" s="22">
        <f>COUNTIF($V$4:V443,V443)</f>
        <v>172</v>
      </c>
      <c r="U443" s="22" t="str">
        <f>IF(T443=1,COUNTIF($T$4:T443,1),"")</f>
        <v/>
      </c>
      <c r="V443" s="23" t="str">
        <f t="shared" si="32"/>
        <v/>
      </c>
      <c r="W443" s="23">
        <f t="shared" si="33"/>
        <v>0</v>
      </c>
      <c r="X443" s="24"/>
      <c r="Y443" s="23"/>
    </row>
    <row r="444" spans="1:256" outlineLevel="1">
      <c r="A444" s="16"/>
      <c r="B444" s="20"/>
      <c r="C444" s="20"/>
      <c r="D444" s="20"/>
      <c r="E444" s="20"/>
      <c r="F444" s="21"/>
      <c r="G444" s="21"/>
      <c r="H444" s="21"/>
      <c r="I444" s="21"/>
      <c r="J444" s="20"/>
      <c r="K444" s="21"/>
      <c r="L444" s="21"/>
      <c r="M444" s="21"/>
      <c r="N444" s="21"/>
      <c r="O444" s="21"/>
      <c r="P444" s="21"/>
      <c r="Q444" s="21"/>
      <c r="R444" s="20"/>
      <c r="S444" s="22">
        <f t="shared" si="31"/>
        <v>0</v>
      </c>
      <c r="T444" s="22">
        <f>COUNTIF($V$4:V444,V444)</f>
        <v>173</v>
      </c>
      <c r="U444" s="22" t="str">
        <f>IF(T444=1,COUNTIF($T$4:T444,1),"")</f>
        <v/>
      </c>
      <c r="V444" s="23" t="str">
        <f t="shared" si="32"/>
        <v/>
      </c>
      <c r="W444" s="23">
        <f t="shared" si="33"/>
        <v>0</v>
      </c>
      <c r="X444" s="24"/>
      <c r="Y444" s="23"/>
    </row>
    <row r="445" spans="1:256" outlineLevel="1">
      <c r="A445" s="16"/>
      <c r="B445" s="20"/>
      <c r="C445" s="20"/>
      <c r="D445" s="20"/>
      <c r="E445" s="20"/>
      <c r="F445" s="21"/>
      <c r="G445" s="21"/>
      <c r="H445" s="21"/>
      <c r="I445" s="21"/>
      <c r="J445" s="20"/>
      <c r="K445" s="21"/>
      <c r="L445" s="21"/>
      <c r="M445" s="21"/>
      <c r="N445" s="21"/>
      <c r="O445" s="21"/>
      <c r="P445" s="21"/>
      <c r="Q445" s="21"/>
      <c r="R445" s="20"/>
      <c r="S445" s="22">
        <f t="shared" si="31"/>
        <v>0</v>
      </c>
      <c r="T445" s="22">
        <f>COUNTIF($V$4:V445,V445)</f>
        <v>174</v>
      </c>
      <c r="U445" s="22" t="str">
        <f>IF(T445=1,COUNTIF($T$4:T445,1),"")</f>
        <v/>
      </c>
      <c r="V445" s="23" t="str">
        <f t="shared" si="32"/>
        <v/>
      </c>
      <c r="W445" s="23">
        <f t="shared" si="33"/>
        <v>0</v>
      </c>
      <c r="X445" s="24"/>
      <c r="Y445" s="23"/>
    </row>
    <row r="446" spans="1:256" outlineLevel="1">
      <c r="A446" s="16"/>
      <c r="B446" s="20"/>
      <c r="C446" s="20"/>
      <c r="D446" s="20"/>
      <c r="E446" s="20"/>
      <c r="F446" s="21"/>
      <c r="G446" s="21"/>
      <c r="H446" s="21"/>
      <c r="I446" s="21"/>
      <c r="J446" s="20"/>
      <c r="K446" s="21"/>
      <c r="L446" s="21"/>
      <c r="M446" s="21"/>
      <c r="N446" s="21"/>
      <c r="O446" s="21"/>
      <c r="P446" s="21"/>
      <c r="Q446" s="21"/>
      <c r="R446" s="20"/>
      <c r="S446" s="22">
        <f t="shared" si="31"/>
        <v>0</v>
      </c>
      <c r="T446" s="22">
        <f>COUNTIF($V$4:V446,V446)</f>
        <v>175</v>
      </c>
      <c r="U446" s="22" t="str">
        <f>IF(T446=1,COUNTIF($T$4:T446,1),"")</f>
        <v/>
      </c>
      <c r="V446" s="23" t="str">
        <f t="shared" si="32"/>
        <v/>
      </c>
      <c r="W446" s="23">
        <f t="shared" si="33"/>
        <v>0</v>
      </c>
      <c r="X446" s="24"/>
      <c r="Y446" s="23"/>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c r="IT446" s="9"/>
      <c r="IU446" s="9"/>
      <c r="IV446" s="9"/>
    </row>
    <row r="447" spans="1:256" outlineLevel="1">
      <c r="A447" s="16"/>
      <c r="B447" s="44"/>
      <c r="C447" s="20"/>
      <c r="D447" s="20"/>
      <c r="E447" s="20"/>
      <c r="F447" s="21"/>
      <c r="G447" s="21"/>
      <c r="H447" s="21"/>
      <c r="I447" s="21"/>
      <c r="J447" s="20"/>
      <c r="K447" s="21"/>
      <c r="L447" s="21"/>
      <c r="M447" s="21"/>
      <c r="N447" s="21"/>
      <c r="O447" s="21"/>
      <c r="P447" s="21"/>
      <c r="Q447" s="21"/>
      <c r="R447" s="20"/>
      <c r="S447" s="22">
        <f t="shared" si="31"/>
        <v>0</v>
      </c>
      <c r="T447" s="22">
        <f>COUNTIF($V$4:V447,V447)</f>
        <v>176</v>
      </c>
      <c r="U447" s="22" t="str">
        <f>IF(T447=1,COUNTIF($T$4:T447,1),"")</f>
        <v/>
      </c>
      <c r="V447" s="23" t="str">
        <f t="shared" si="32"/>
        <v/>
      </c>
      <c r="W447" s="23">
        <f t="shared" si="33"/>
        <v>0</v>
      </c>
      <c r="X447" s="24"/>
      <c r="Y447" s="23"/>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c r="EV447" s="9"/>
      <c r="EW447" s="9"/>
      <c r="EX447" s="9"/>
      <c r="EY447" s="9"/>
      <c r="EZ447" s="9"/>
      <c r="FA447" s="9"/>
      <c r="FB447" s="9"/>
      <c r="FC447" s="9"/>
      <c r="FD447" s="9"/>
      <c r="FE447" s="9"/>
      <c r="FF447" s="9"/>
      <c r="FG447" s="9"/>
      <c r="FH447" s="9"/>
      <c r="FI447" s="9"/>
      <c r="FJ447" s="9"/>
      <c r="FK447" s="9"/>
      <c r="FL447" s="9"/>
      <c r="FM447" s="9"/>
      <c r="FN447" s="9"/>
      <c r="FO447" s="9"/>
      <c r="FP447" s="9"/>
      <c r="FQ447" s="9"/>
      <c r="FR447" s="9"/>
      <c r="FS447" s="9"/>
      <c r="FT447" s="9"/>
      <c r="FU447" s="9"/>
      <c r="FV447" s="9"/>
      <c r="FW447" s="9"/>
      <c r="FX447" s="9"/>
      <c r="FY447" s="9"/>
      <c r="FZ447" s="9"/>
      <c r="GA447" s="9"/>
      <c r="GB447" s="9"/>
      <c r="GC447" s="9"/>
      <c r="GD447" s="9"/>
      <c r="GE447" s="9"/>
      <c r="GF447" s="9"/>
      <c r="GG447" s="9"/>
      <c r="GH447" s="9"/>
      <c r="GI447" s="9"/>
      <c r="GJ447" s="9"/>
      <c r="GK447" s="9"/>
      <c r="GL447" s="9"/>
      <c r="GM447" s="9"/>
      <c r="GN447" s="9"/>
      <c r="GO447" s="9"/>
      <c r="GP447" s="9"/>
      <c r="GQ447" s="9"/>
      <c r="GR447" s="9"/>
      <c r="GS447" s="9"/>
      <c r="GT447" s="9"/>
      <c r="GU447" s="9"/>
      <c r="GV447" s="9"/>
      <c r="GW447" s="9"/>
      <c r="GX447" s="9"/>
      <c r="GY447" s="9"/>
      <c r="GZ447" s="9"/>
      <c r="HA447" s="9"/>
      <c r="HB447" s="9"/>
      <c r="HC447" s="9"/>
      <c r="HD447" s="9"/>
      <c r="HE447" s="9"/>
      <c r="HF447" s="9"/>
      <c r="HG447" s="9"/>
      <c r="HH447" s="9"/>
      <c r="HI447" s="9"/>
      <c r="HJ447" s="9"/>
      <c r="HK447" s="9"/>
      <c r="HL447" s="9"/>
      <c r="HM447" s="9"/>
      <c r="HN447" s="9"/>
      <c r="HO447" s="9"/>
      <c r="HP447" s="9"/>
      <c r="HQ447" s="9"/>
      <c r="HR447" s="9"/>
      <c r="HS447" s="9"/>
      <c r="HT447" s="9"/>
      <c r="HU447" s="9"/>
      <c r="HV447" s="9"/>
      <c r="HW447" s="9"/>
      <c r="HX447" s="9"/>
      <c r="HY447" s="9"/>
      <c r="HZ447" s="9"/>
      <c r="IA447" s="9"/>
      <c r="IB447" s="9"/>
      <c r="IC447" s="9"/>
      <c r="ID447" s="9"/>
      <c r="IE447" s="9"/>
      <c r="IF447" s="9"/>
      <c r="IG447" s="9"/>
      <c r="IH447" s="9"/>
      <c r="II447" s="9"/>
      <c r="IJ447" s="9"/>
      <c r="IK447" s="9"/>
      <c r="IL447" s="9"/>
      <c r="IM447" s="9"/>
      <c r="IN447" s="9"/>
      <c r="IO447" s="9"/>
      <c r="IP447" s="9"/>
      <c r="IQ447" s="9"/>
      <c r="IR447" s="9"/>
      <c r="IS447" s="9"/>
      <c r="IT447" s="9"/>
      <c r="IU447" s="9"/>
      <c r="IV447" s="9"/>
    </row>
    <row r="448" spans="1:256" outlineLevel="1">
      <c r="A448" s="16"/>
      <c r="B448" s="44"/>
      <c r="C448" s="20"/>
      <c r="D448" s="20"/>
      <c r="E448" s="20"/>
      <c r="F448" s="21"/>
      <c r="G448" s="21"/>
      <c r="H448" s="21"/>
      <c r="I448" s="21"/>
      <c r="J448" s="20"/>
      <c r="K448" s="21"/>
      <c r="L448" s="21"/>
      <c r="M448" s="21"/>
      <c r="N448" s="21"/>
      <c r="O448" s="21"/>
      <c r="P448" s="21"/>
      <c r="Q448" s="21"/>
      <c r="R448" s="20"/>
      <c r="S448" s="22">
        <f t="shared" si="31"/>
        <v>0</v>
      </c>
      <c r="T448" s="22">
        <f>COUNTIF($V$4:V448,V448)</f>
        <v>177</v>
      </c>
      <c r="U448" s="22" t="str">
        <f>IF(T448=1,COUNTIF($T$4:T448,1),"")</f>
        <v/>
      </c>
      <c r="V448" s="23" t="str">
        <f t="shared" si="32"/>
        <v/>
      </c>
      <c r="W448" s="23">
        <f t="shared" si="33"/>
        <v>0</v>
      </c>
      <c r="X448" s="24"/>
      <c r="Y448" s="23"/>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9"/>
      <c r="HQ448" s="9"/>
      <c r="HR448" s="9"/>
      <c r="HS448" s="9"/>
      <c r="HT448" s="9"/>
      <c r="HU448" s="9"/>
      <c r="HV448" s="9"/>
      <c r="HW448" s="9"/>
      <c r="HX448" s="9"/>
      <c r="HY448" s="9"/>
      <c r="HZ448" s="9"/>
      <c r="IA448" s="9"/>
      <c r="IB448" s="9"/>
      <c r="IC448" s="9"/>
      <c r="ID448" s="9"/>
      <c r="IE448" s="9"/>
      <c r="IF448" s="9"/>
      <c r="IG448" s="9"/>
      <c r="IH448" s="9"/>
      <c r="II448" s="9"/>
      <c r="IJ448" s="9"/>
      <c r="IK448" s="9"/>
      <c r="IL448" s="9"/>
      <c r="IM448" s="9"/>
      <c r="IN448" s="9"/>
      <c r="IO448" s="9"/>
      <c r="IP448" s="9"/>
      <c r="IQ448" s="9"/>
      <c r="IR448" s="9"/>
      <c r="IS448" s="9"/>
      <c r="IT448" s="9"/>
      <c r="IU448" s="9"/>
      <c r="IV448" s="9"/>
    </row>
    <row r="449" spans="1:256" outlineLevel="1">
      <c r="A449" s="16"/>
      <c r="B449" s="44"/>
      <c r="C449" s="20"/>
      <c r="D449" s="20"/>
      <c r="E449" s="20"/>
      <c r="F449" s="21"/>
      <c r="G449" s="21"/>
      <c r="H449" s="21"/>
      <c r="I449" s="21"/>
      <c r="J449" s="20"/>
      <c r="K449" s="21"/>
      <c r="L449" s="21"/>
      <c r="M449" s="21"/>
      <c r="N449" s="21"/>
      <c r="O449" s="21"/>
      <c r="P449" s="21"/>
      <c r="Q449" s="21"/>
      <c r="R449" s="20"/>
      <c r="S449" s="22">
        <f t="shared" si="31"/>
        <v>0</v>
      </c>
      <c r="T449" s="22">
        <f>COUNTIF($V$4:V449,V449)</f>
        <v>178</v>
      </c>
      <c r="U449" s="22" t="str">
        <f>IF(T449=1,COUNTIF($T$4:T449,1),"")</f>
        <v/>
      </c>
      <c r="V449" s="23" t="str">
        <f t="shared" si="32"/>
        <v/>
      </c>
      <c r="W449" s="23">
        <f t="shared" si="33"/>
        <v>0</v>
      </c>
      <c r="X449" s="24"/>
      <c r="Y449" s="23"/>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c r="IR449" s="9"/>
      <c r="IS449" s="9"/>
      <c r="IT449" s="9"/>
      <c r="IU449" s="9"/>
      <c r="IV449" s="9"/>
    </row>
    <row r="450" spans="1:256" outlineLevel="1">
      <c r="A450" s="16"/>
      <c r="B450" s="44"/>
      <c r="C450" s="20"/>
      <c r="D450" s="20"/>
      <c r="E450" s="20"/>
      <c r="F450" s="21"/>
      <c r="G450" s="21"/>
      <c r="H450" s="21"/>
      <c r="I450" s="21"/>
      <c r="J450" s="20"/>
      <c r="K450" s="21"/>
      <c r="L450" s="21"/>
      <c r="M450" s="21"/>
      <c r="N450" s="21"/>
      <c r="O450" s="21"/>
      <c r="P450" s="21"/>
      <c r="Q450" s="21"/>
      <c r="R450" s="20"/>
      <c r="S450" s="22">
        <f t="shared" si="31"/>
        <v>0</v>
      </c>
      <c r="T450" s="22">
        <f>COUNTIF($V$4:V450,V450)</f>
        <v>179</v>
      </c>
      <c r="U450" s="22" t="str">
        <f>IF(T450=1,COUNTIF($T$4:T450,1),"")</f>
        <v/>
      </c>
      <c r="V450" s="23" t="str">
        <f t="shared" si="32"/>
        <v/>
      </c>
      <c r="W450" s="23">
        <f t="shared" si="33"/>
        <v>0</v>
      </c>
      <c r="X450" s="24"/>
      <c r="Y450" s="23"/>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c r="EV450" s="9"/>
      <c r="EW450" s="9"/>
      <c r="EX450" s="9"/>
      <c r="EY450" s="9"/>
      <c r="EZ450" s="9"/>
      <c r="FA450" s="9"/>
      <c r="FB450" s="9"/>
      <c r="FC450" s="9"/>
      <c r="FD450" s="9"/>
      <c r="FE450" s="9"/>
      <c r="FF450" s="9"/>
      <c r="FG450" s="9"/>
      <c r="FH450" s="9"/>
      <c r="FI450" s="9"/>
      <c r="FJ450" s="9"/>
      <c r="FK450" s="9"/>
      <c r="FL450" s="9"/>
      <c r="FM450" s="9"/>
      <c r="FN450" s="9"/>
      <c r="FO450" s="9"/>
      <c r="FP450" s="9"/>
      <c r="FQ450" s="9"/>
      <c r="FR450" s="9"/>
      <c r="FS450" s="9"/>
      <c r="FT450" s="9"/>
      <c r="FU450" s="9"/>
      <c r="FV450" s="9"/>
      <c r="FW450" s="9"/>
      <c r="FX450" s="9"/>
      <c r="FY450" s="9"/>
      <c r="FZ450" s="9"/>
      <c r="GA450" s="9"/>
      <c r="GB450" s="9"/>
      <c r="GC450" s="9"/>
      <c r="GD450" s="9"/>
      <c r="GE450" s="9"/>
      <c r="GF450" s="9"/>
      <c r="GG450" s="9"/>
      <c r="GH450" s="9"/>
      <c r="GI450" s="9"/>
      <c r="GJ450" s="9"/>
      <c r="GK450" s="9"/>
      <c r="GL450" s="9"/>
      <c r="GM450" s="9"/>
      <c r="GN450" s="9"/>
      <c r="GO450" s="9"/>
      <c r="GP450" s="9"/>
      <c r="GQ450" s="9"/>
      <c r="GR450" s="9"/>
      <c r="GS450" s="9"/>
      <c r="GT450" s="9"/>
      <c r="GU450" s="9"/>
      <c r="GV450" s="9"/>
      <c r="GW450" s="9"/>
      <c r="GX450" s="9"/>
      <c r="GY450" s="9"/>
      <c r="GZ450" s="9"/>
      <c r="HA450" s="9"/>
      <c r="HB450" s="9"/>
      <c r="HC450" s="9"/>
      <c r="HD450" s="9"/>
      <c r="HE450" s="9"/>
      <c r="HF450" s="9"/>
      <c r="HG450" s="9"/>
      <c r="HH450" s="9"/>
      <c r="HI450" s="9"/>
      <c r="HJ450" s="9"/>
      <c r="HK450" s="9"/>
      <c r="HL450" s="9"/>
      <c r="HM450" s="9"/>
      <c r="HN450" s="9"/>
      <c r="HO450" s="9"/>
      <c r="HP450" s="9"/>
      <c r="HQ450" s="9"/>
      <c r="HR450" s="9"/>
      <c r="HS450" s="9"/>
      <c r="HT450" s="9"/>
      <c r="HU450" s="9"/>
      <c r="HV450" s="9"/>
      <c r="HW450" s="9"/>
      <c r="HX450" s="9"/>
      <c r="HY450" s="9"/>
      <c r="HZ450" s="9"/>
      <c r="IA450" s="9"/>
      <c r="IB450" s="9"/>
      <c r="IC450" s="9"/>
      <c r="ID450" s="9"/>
      <c r="IE450" s="9"/>
      <c r="IF450" s="9"/>
      <c r="IG450" s="9"/>
      <c r="IH450" s="9"/>
      <c r="II450" s="9"/>
      <c r="IJ450" s="9"/>
      <c r="IK450" s="9"/>
      <c r="IL450" s="9"/>
      <c r="IM450" s="9"/>
      <c r="IN450" s="9"/>
      <c r="IO450" s="9"/>
      <c r="IP450" s="9"/>
      <c r="IQ450" s="9"/>
      <c r="IR450" s="9"/>
      <c r="IS450" s="9"/>
      <c r="IT450" s="9"/>
      <c r="IU450" s="9"/>
      <c r="IV450" s="9"/>
    </row>
    <row r="451" spans="1:256" outlineLevel="1">
      <c r="A451" s="16"/>
      <c r="B451" s="44"/>
      <c r="C451" s="20"/>
      <c r="D451" s="20"/>
      <c r="E451" s="20"/>
      <c r="F451" s="21"/>
      <c r="G451" s="21"/>
      <c r="H451" s="21"/>
      <c r="I451" s="21"/>
      <c r="J451" s="20"/>
      <c r="K451" s="21"/>
      <c r="L451" s="21"/>
      <c r="M451" s="21"/>
      <c r="N451" s="21"/>
      <c r="O451" s="21"/>
      <c r="P451" s="21"/>
      <c r="Q451" s="21"/>
      <c r="R451" s="20"/>
      <c r="S451" s="22">
        <f t="shared" si="31"/>
        <v>0</v>
      </c>
      <c r="T451" s="22">
        <f>COUNTIF($V$4:V451,V451)</f>
        <v>180</v>
      </c>
      <c r="U451" s="22" t="str">
        <f>IF(T451=1,COUNTIF($T$4:T451,1),"")</f>
        <v/>
      </c>
      <c r="V451" s="23" t="str">
        <f t="shared" si="32"/>
        <v/>
      </c>
      <c r="W451" s="23">
        <f t="shared" si="33"/>
        <v>0</v>
      </c>
      <c r="X451" s="24"/>
      <c r="Y451" s="23"/>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c r="EV451" s="9"/>
      <c r="EW451" s="9"/>
      <c r="EX451" s="9"/>
      <c r="EY451" s="9"/>
      <c r="EZ451" s="9"/>
      <c r="FA451" s="9"/>
      <c r="FB451" s="9"/>
      <c r="FC451" s="9"/>
      <c r="FD451" s="9"/>
      <c r="FE451" s="9"/>
      <c r="FF451" s="9"/>
      <c r="FG451" s="9"/>
      <c r="FH451" s="9"/>
      <c r="FI451" s="9"/>
      <c r="FJ451" s="9"/>
      <c r="FK451" s="9"/>
      <c r="FL451" s="9"/>
      <c r="FM451" s="9"/>
      <c r="FN451" s="9"/>
      <c r="FO451" s="9"/>
      <c r="FP451" s="9"/>
      <c r="FQ451" s="9"/>
      <c r="FR451" s="9"/>
      <c r="FS451" s="9"/>
      <c r="FT451" s="9"/>
      <c r="FU451" s="9"/>
      <c r="FV451" s="9"/>
      <c r="FW451" s="9"/>
      <c r="FX451" s="9"/>
      <c r="FY451" s="9"/>
      <c r="FZ451" s="9"/>
      <c r="GA451" s="9"/>
      <c r="GB451" s="9"/>
      <c r="GC451" s="9"/>
      <c r="GD451" s="9"/>
      <c r="GE451" s="9"/>
      <c r="GF451" s="9"/>
      <c r="GG451" s="9"/>
      <c r="GH451" s="9"/>
      <c r="GI451" s="9"/>
      <c r="GJ451" s="9"/>
      <c r="GK451" s="9"/>
      <c r="GL451" s="9"/>
      <c r="GM451" s="9"/>
      <c r="GN451" s="9"/>
      <c r="GO451" s="9"/>
      <c r="GP451" s="9"/>
      <c r="GQ451" s="9"/>
      <c r="GR451" s="9"/>
      <c r="GS451" s="9"/>
      <c r="GT451" s="9"/>
      <c r="GU451" s="9"/>
      <c r="GV451" s="9"/>
      <c r="GW451" s="9"/>
      <c r="GX451" s="9"/>
      <c r="GY451" s="9"/>
      <c r="GZ451" s="9"/>
      <c r="HA451" s="9"/>
      <c r="HB451" s="9"/>
      <c r="HC451" s="9"/>
      <c r="HD451" s="9"/>
      <c r="HE451" s="9"/>
      <c r="HF451" s="9"/>
      <c r="HG451" s="9"/>
      <c r="HH451" s="9"/>
      <c r="HI451" s="9"/>
      <c r="HJ451" s="9"/>
      <c r="HK451" s="9"/>
      <c r="HL451" s="9"/>
      <c r="HM451" s="9"/>
      <c r="HN451" s="9"/>
      <c r="HO451" s="9"/>
      <c r="HP451" s="9"/>
      <c r="HQ451" s="9"/>
      <c r="HR451" s="9"/>
      <c r="HS451" s="9"/>
      <c r="HT451" s="9"/>
      <c r="HU451" s="9"/>
      <c r="HV451" s="9"/>
      <c r="HW451" s="9"/>
      <c r="HX451" s="9"/>
      <c r="HY451" s="9"/>
      <c r="HZ451" s="9"/>
      <c r="IA451" s="9"/>
      <c r="IB451" s="9"/>
      <c r="IC451" s="9"/>
      <c r="ID451" s="9"/>
      <c r="IE451" s="9"/>
      <c r="IF451" s="9"/>
      <c r="IG451" s="9"/>
      <c r="IH451" s="9"/>
      <c r="II451" s="9"/>
      <c r="IJ451" s="9"/>
      <c r="IK451" s="9"/>
      <c r="IL451" s="9"/>
      <c r="IM451" s="9"/>
      <c r="IN451" s="9"/>
      <c r="IO451" s="9"/>
      <c r="IP451" s="9"/>
      <c r="IQ451" s="9"/>
      <c r="IR451" s="9"/>
      <c r="IS451" s="9"/>
      <c r="IT451" s="9"/>
      <c r="IU451" s="9"/>
      <c r="IV451" s="9"/>
    </row>
    <row r="452" spans="1:256" outlineLevel="1">
      <c r="A452" s="16"/>
      <c r="B452" s="44"/>
      <c r="C452" s="20"/>
      <c r="D452" s="20"/>
      <c r="E452" s="20"/>
      <c r="F452" s="21"/>
      <c r="G452" s="21"/>
      <c r="H452" s="21"/>
      <c r="I452" s="21"/>
      <c r="J452" s="20"/>
      <c r="K452" s="21"/>
      <c r="L452" s="21"/>
      <c r="M452" s="21"/>
      <c r="N452" s="21"/>
      <c r="O452" s="21"/>
      <c r="P452" s="21"/>
      <c r="Q452" s="21"/>
      <c r="R452" s="20"/>
      <c r="S452" s="22">
        <f t="shared" si="31"/>
        <v>0</v>
      </c>
      <c r="T452" s="22">
        <f>COUNTIF($V$4:V452,V452)</f>
        <v>181</v>
      </c>
      <c r="U452" s="22" t="str">
        <f>IF(T452=1,COUNTIF($T$4:T452,1),"")</f>
        <v/>
      </c>
      <c r="V452" s="23" t="str">
        <f t="shared" si="32"/>
        <v/>
      </c>
      <c r="W452" s="23">
        <f t="shared" si="33"/>
        <v>0</v>
      </c>
      <c r="X452" s="24"/>
      <c r="Y452" s="23"/>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c r="EB452" s="9"/>
      <c r="EC452" s="9"/>
      <c r="ED452" s="9"/>
      <c r="EE452" s="9"/>
      <c r="EF452" s="9"/>
      <c r="EG452" s="9"/>
      <c r="EH452" s="9"/>
      <c r="EI452" s="9"/>
      <c r="EJ452" s="9"/>
      <c r="EK452" s="9"/>
      <c r="EL452" s="9"/>
      <c r="EM452" s="9"/>
      <c r="EN452" s="9"/>
      <c r="EO452" s="9"/>
      <c r="EP452" s="9"/>
      <c r="EQ452" s="9"/>
      <c r="ER452" s="9"/>
      <c r="ES452" s="9"/>
      <c r="ET452" s="9"/>
      <c r="EU452" s="9"/>
      <c r="EV452" s="9"/>
      <c r="EW452" s="9"/>
      <c r="EX452" s="9"/>
      <c r="EY452" s="9"/>
      <c r="EZ452" s="9"/>
      <c r="FA452" s="9"/>
      <c r="FB452" s="9"/>
      <c r="FC452" s="9"/>
      <c r="FD452" s="9"/>
      <c r="FE452" s="9"/>
      <c r="FF452" s="9"/>
      <c r="FG452" s="9"/>
      <c r="FH452" s="9"/>
      <c r="FI452" s="9"/>
      <c r="FJ452" s="9"/>
      <c r="FK452" s="9"/>
      <c r="FL452" s="9"/>
      <c r="FM452" s="9"/>
      <c r="FN452" s="9"/>
      <c r="FO452" s="9"/>
      <c r="FP452" s="9"/>
      <c r="FQ452" s="9"/>
      <c r="FR452" s="9"/>
      <c r="FS452" s="9"/>
      <c r="FT452" s="9"/>
      <c r="FU452" s="9"/>
      <c r="FV452" s="9"/>
      <c r="FW452" s="9"/>
      <c r="FX452" s="9"/>
      <c r="FY452" s="9"/>
      <c r="FZ452" s="9"/>
      <c r="GA452" s="9"/>
      <c r="GB452" s="9"/>
      <c r="GC452" s="9"/>
      <c r="GD452" s="9"/>
      <c r="GE452" s="9"/>
      <c r="GF452" s="9"/>
      <c r="GG452" s="9"/>
      <c r="GH452" s="9"/>
      <c r="GI452" s="9"/>
      <c r="GJ452" s="9"/>
      <c r="GK452" s="9"/>
      <c r="GL452" s="9"/>
      <c r="GM452" s="9"/>
      <c r="GN452" s="9"/>
      <c r="GO452" s="9"/>
      <c r="GP452" s="9"/>
      <c r="GQ452" s="9"/>
      <c r="GR452" s="9"/>
      <c r="GS452" s="9"/>
      <c r="GT452" s="9"/>
      <c r="GU452" s="9"/>
      <c r="GV452" s="9"/>
      <c r="GW452" s="9"/>
      <c r="GX452" s="9"/>
      <c r="GY452" s="9"/>
      <c r="GZ452" s="9"/>
      <c r="HA452" s="9"/>
      <c r="HB452" s="9"/>
      <c r="HC452" s="9"/>
      <c r="HD452" s="9"/>
      <c r="HE452" s="9"/>
      <c r="HF452" s="9"/>
      <c r="HG452" s="9"/>
      <c r="HH452" s="9"/>
      <c r="HI452" s="9"/>
      <c r="HJ452" s="9"/>
      <c r="HK452" s="9"/>
      <c r="HL452" s="9"/>
      <c r="HM452" s="9"/>
      <c r="HN452" s="9"/>
      <c r="HO452" s="9"/>
      <c r="HP452" s="9"/>
      <c r="HQ452" s="9"/>
      <c r="HR452" s="9"/>
      <c r="HS452" s="9"/>
      <c r="HT452" s="9"/>
      <c r="HU452" s="9"/>
      <c r="HV452" s="9"/>
      <c r="HW452" s="9"/>
      <c r="HX452" s="9"/>
      <c r="HY452" s="9"/>
      <c r="HZ452" s="9"/>
      <c r="IA452" s="9"/>
      <c r="IB452" s="9"/>
      <c r="IC452" s="9"/>
      <c r="ID452" s="9"/>
      <c r="IE452" s="9"/>
      <c r="IF452" s="9"/>
      <c r="IG452" s="9"/>
      <c r="IH452" s="9"/>
      <c r="II452" s="9"/>
      <c r="IJ452" s="9"/>
      <c r="IK452" s="9"/>
      <c r="IL452" s="9"/>
      <c r="IM452" s="9"/>
      <c r="IN452" s="9"/>
      <c r="IO452" s="9"/>
      <c r="IP452" s="9"/>
      <c r="IQ452" s="9"/>
      <c r="IR452" s="9"/>
      <c r="IS452" s="9"/>
      <c r="IT452" s="9"/>
      <c r="IU452" s="9"/>
      <c r="IV452" s="9"/>
    </row>
    <row r="453" spans="1:256" outlineLevel="1">
      <c r="A453" s="16"/>
      <c r="B453" s="44"/>
      <c r="C453" s="20"/>
      <c r="D453" s="20"/>
      <c r="E453" s="20"/>
      <c r="F453" s="21"/>
      <c r="G453" s="21"/>
      <c r="H453" s="21"/>
      <c r="I453" s="21"/>
      <c r="J453" s="21"/>
      <c r="K453" s="21"/>
      <c r="L453" s="21"/>
      <c r="M453" s="21"/>
      <c r="N453" s="21"/>
      <c r="O453" s="21"/>
      <c r="P453" s="21"/>
      <c r="Q453" s="21"/>
      <c r="R453" s="20"/>
      <c r="S453" s="22">
        <f t="shared" si="31"/>
        <v>0</v>
      </c>
      <c r="T453" s="22">
        <f>COUNTIF($V$4:V453,V453)</f>
        <v>182</v>
      </c>
      <c r="U453" s="22" t="str">
        <f>IF(T453=1,COUNTIF($T$4:T453,1),"")</f>
        <v/>
      </c>
      <c r="V453" s="23" t="str">
        <f t="shared" si="32"/>
        <v/>
      </c>
      <c r="W453" s="23">
        <f t="shared" si="33"/>
        <v>0</v>
      </c>
      <c r="X453" s="24"/>
      <c r="Y453" s="23"/>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c r="EV453" s="9"/>
      <c r="EW453" s="9"/>
      <c r="EX453" s="9"/>
      <c r="EY453" s="9"/>
      <c r="EZ453" s="9"/>
      <c r="FA453" s="9"/>
      <c r="FB453" s="9"/>
      <c r="FC453" s="9"/>
      <c r="FD453" s="9"/>
      <c r="FE453" s="9"/>
      <c r="FF453" s="9"/>
      <c r="FG453" s="9"/>
      <c r="FH453" s="9"/>
      <c r="FI453" s="9"/>
      <c r="FJ453" s="9"/>
      <c r="FK453" s="9"/>
      <c r="FL453" s="9"/>
      <c r="FM453" s="9"/>
      <c r="FN453" s="9"/>
      <c r="FO453" s="9"/>
      <c r="FP453" s="9"/>
      <c r="FQ453" s="9"/>
      <c r="FR453" s="9"/>
      <c r="FS453" s="9"/>
      <c r="FT453" s="9"/>
      <c r="FU453" s="9"/>
      <c r="FV453" s="9"/>
      <c r="FW453" s="9"/>
      <c r="FX453" s="9"/>
      <c r="FY453" s="9"/>
      <c r="FZ453" s="9"/>
      <c r="GA453" s="9"/>
      <c r="GB453" s="9"/>
      <c r="GC453" s="9"/>
      <c r="GD453" s="9"/>
      <c r="GE453" s="9"/>
      <c r="GF453" s="9"/>
      <c r="GG453" s="9"/>
      <c r="GH453" s="9"/>
      <c r="GI453" s="9"/>
      <c r="GJ453" s="9"/>
      <c r="GK453" s="9"/>
      <c r="GL453" s="9"/>
      <c r="GM453" s="9"/>
      <c r="GN453" s="9"/>
      <c r="GO453" s="9"/>
      <c r="GP453" s="9"/>
      <c r="GQ453" s="9"/>
      <c r="GR453" s="9"/>
      <c r="GS453" s="9"/>
      <c r="GT453" s="9"/>
      <c r="GU453" s="9"/>
      <c r="GV453" s="9"/>
      <c r="GW453" s="9"/>
      <c r="GX453" s="9"/>
      <c r="GY453" s="9"/>
      <c r="GZ453" s="9"/>
      <c r="HA453" s="9"/>
      <c r="HB453" s="9"/>
      <c r="HC453" s="9"/>
      <c r="HD453" s="9"/>
      <c r="HE453" s="9"/>
      <c r="HF453" s="9"/>
      <c r="HG453" s="9"/>
      <c r="HH453" s="9"/>
      <c r="HI453" s="9"/>
      <c r="HJ453" s="9"/>
      <c r="HK453" s="9"/>
      <c r="HL453" s="9"/>
      <c r="HM453" s="9"/>
      <c r="HN453" s="9"/>
      <c r="HO453" s="9"/>
      <c r="HP453" s="9"/>
      <c r="HQ453" s="9"/>
      <c r="HR453" s="9"/>
      <c r="HS453" s="9"/>
      <c r="HT453" s="9"/>
      <c r="HU453" s="9"/>
      <c r="HV453" s="9"/>
      <c r="HW453" s="9"/>
      <c r="HX453" s="9"/>
      <c r="HY453" s="9"/>
      <c r="HZ453" s="9"/>
      <c r="IA453" s="9"/>
      <c r="IB453" s="9"/>
      <c r="IC453" s="9"/>
      <c r="ID453" s="9"/>
      <c r="IE453" s="9"/>
      <c r="IF453" s="9"/>
      <c r="IG453" s="9"/>
      <c r="IH453" s="9"/>
      <c r="II453" s="9"/>
      <c r="IJ453" s="9"/>
      <c r="IK453" s="9"/>
      <c r="IL453" s="9"/>
      <c r="IM453" s="9"/>
      <c r="IN453" s="9"/>
      <c r="IO453" s="9"/>
      <c r="IP453" s="9"/>
      <c r="IQ453" s="9"/>
      <c r="IR453" s="9"/>
      <c r="IS453" s="9"/>
      <c r="IT453" s="9"/>
      <c r="IU453" s="9"/>
      <c r="IV453" s="9"/>
    </row>
    <row r="454" spans="1:256" outlineLevel="1">
      <c r="A454" s="16"/>
      <c r="B454" s="44"/>
      <c r="C454" s="20"/>
      <c r="D454" s="20"/>
      <c r="E454" s="20"/>
      <c r="F454" s="21"/>
      <c r="G454" s="21"/>
      <c r="H454" s="21"/>
      <c r="I454" s="21"/>
      <c r="J454" s="20"/>
      <c r="K454" s="21"/>
      <c r="L454" s="21"/>
      <c r="M454" s="21"/>
      <c r="N454" s="21"/>
      <c r="O454" s="21"/>
      <c r="P454" s="21"/>
      <c r="Q454" s="21"/>
      <c r="R454" s="20"/>
      <c r="S454" s="22">
        <f t="shared" ref="S454:S517" si="34">A454</f>
        <v>0</v>
      </c>
      <c r="T454" s="22">
        <f>COUNTIF($V$4:V454,V454)</f>
        <v>183</v>
      </c>
      <c r="U454" s="22" t="str">
        <f>IF(T454=1,COUNTIF($T$4:T454,1),"")</f>
        <v/>
      </c>
      <c r="V454" s="23" t="str">
        <f t="shared" ref="V454:V517" si="35">$E454&amp;$C454</f>
        <v/>
      </c>
      <c r="W454" s="23">
        <f t="shared" si="33"/>
        <v>0</v>
      </c>
      <c r="X454" s="24"/>
      <c r="Y454" s="23"/>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c r="EV454" s="9"/>
      <c r="EW454" s="9"/>
      <c r="EX454" s="9"/>
      <c r="EY454" s="9"/>
      <c r="EZ454" s="9"/>
      <c r="FA454" s="9"/>
      <c r="FB454" s="9"/>
      <c r="FC454" s="9"/>
      <c r="FD454" s="9"/>
      <c r="FE454" s="9"/>
      <c r="FF454" s="9"/>
      <c r="FG454" s="9"/>
      <c r="FH454" s="9"/>
      <c r="FI454" s="9"/>
      <c r="FJ454" s="9"/>
      <c r="FK454" s="9"/>
      <c r="FL454" s="9"/>
      <c r="FM454" s="9"/>
      <c r="FN454" s="9"/>
      <c r="FO454" s="9"/>
      <c r="FP454" s="9"/>
      <c r="FQ454" s="9"/>
      <c r="FR454" s="9"/>
      <c r="FS454" s="9"/>
      <c r="FT454" s="9"/>
      <c r="FU454" s="9"/>
      <c r="FV454" s="9"/>
      <c r="FW454" s="9"/>
      <c r="FX454" s="9"/>
      <c r="FY454" s="9"/>
      <c r="FZ454" s="9"/>
      <c r="GA454" s="9"/>
      <c r="GB454" s="9"/>
      <c r="GC454" s="9"/>
      <c r="GD454" s="9"/>
      <c r="GE454" s="9"/>
      <c r="GF454" s="9"/>
      <c r="GG454" s="9"/>
      <c r="GH454" s="9"/>
      <c r="GI454" s="9"/>
      <c r="GJ454" s="9"/>
      <c r="GK454" s="9"/>
      <c r="GL454" s="9"/>
      <c r="GM454" s="9"/>
      <c r="GN454" s="9"/>
      <c r="GO454" s="9"/>
      <c r="GP454" s="9"/>
      <c r="GQ454" s="9"/>
      <c r="GR454" s="9"/>
      <c r="GS454" s="9"/>
      <c r="GT454" s="9"/>
      <c r="GU454" s="9"/>
      <c r="GV454" s="9"/>
      <c r="GW454" s="9"/>
      <c r="GX454" s="9"/>
      <c r="GY454" s="9"/>
      <c r="GZ454" s="9"/>
      <c r="HA454" s="9"/>
      <c r="HB454" s="9"/>
      <c r="HC454" s="9"/>
      <c r="HD454" s="9"/>
      <c r="HE454" s="9"/>
      <c r="HF454" s="9"/>
      <c r="HG454" s="9"/>
      <c r="HH454" s="9"/>
      <c r="HI454" s="9"/>
      <c r="HJ454" s="9"/>
      <c r="HK454" s="9"/>
      <c r="HL454" s="9"/>
      <c r="HM454" s="9"/>
      <c r="HN454" s="9"/>
      <c r="HO454" s="9"/>
      <c r="HP454" s="9"/>
      <c r="HQ454" s="9"/>
      <c r="HR454" s="9"/>
      <c r="HS454" s="9"/>
      <c r="HT454" s="9"/>
      <c r="HU454" s="9"/>
      <c r="HV454" s="9"/>
      <c r="HW454" s="9"/>
      <c r="HX454" s="9"/>
      <c r="HY454" s="9"/>
      <c r="HZ454" s="9"/>
      <c r="IA454" s="9"/>
      <c r="IB454" s="9"/>
      <c r="IC454" s="9"/>
      <c r="ID454" s="9"/>
      <c r="IE454" s="9"/>
      <c r="IF454" s="9"/>
      <c r="IG454" s="9"/>
      <c r="IH454" s="9"/>
      <c r="II454" s="9"/>
      <c r="IJ454" s="9"/>
      <c r="IK454" s="9"/>
      <c r="IL454" s="9"/>
      <c r="IM454" s="9"/>
      <c r="IN454" s="9"/>
      <c r="IO454" s="9"/>
      <c r="IP454" s="9"/>
      <c r="IQ454" s="9"/>
      <c r="IR454" s="9"/>
      <c r="IS454" s="9"/>
      <c r="IT454" s="9"/>
      <c r="IU454" s="9"/>
      <c r="IV454" s="9"/>
    </row>
    <row r="455" spans="1:256" outlineLevel="1">
      <c r="A455" s="16"/>
      <c r="B455" s="44"/>
      <c r="C455" s="20"/>
      <c r="D455" s="20"/>
      <c r="E455" s="20"/>
      <c r="F455" s="21"/>
      <c r="G455" s="21"/>
      <c r="H455" s="21"/>
      <c r="I455" s="21"/>
      <c r="J455" s="20"/>
      <c r="K455" s="21"/>
      <c r="L455" s="21"/>
      <c r="M455" s="21"/>
      <c r="N455" s="21"/>
      <c r="O455" s="21"/>
      <c r="P455" s="21"/>
      <c r="Q455" s="21"/>
      <c r="R455" s="20"/>
      <c r="S455" s="22">
        <f t="shared" si="34"/>
        <v>0</v>
      </c>
      <c r="T455" s="22">
        <f>COUNTIF($V$4:V455,V455)</f>
        <v>184</v>
      </c>
      <c r="U455" s="22" t="str">
        <f>IF(T455=1,COUNTIF($T$4:T455,1),"")</f>
        <v/>
      </c>
      <c r="V455" s="23" t="str">
        <f t="shared" si="35"/>
        <v/>
      </c>
      <c r="W455" s="23">
        <f t="shared" si="33"/>
        <v>0</v>
      </c>
      <c r="X455" s="24"/>
      <c r="Y455" s="23"/>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9"/>
      <c r="HQ455" s="9"/>
      <c r="HR455" s="9"/>
      <c r="HS455" s="9"/>
      <c r="HT455" s="9"/>
      <c r="HU455" s="9"/>
      <c r="HV455" s="9"/>
      <c r="HW455" s="9"/>
      <c r="HX455" s="9"/>
      <c r="HY455" s="9"/>
      <c r="HZ455" s="9"/>
      <c r="IA455" s="9"/>
      <c r="IB455" s="9"/>
      <c r="IC455" s="9"/>
      <c r="ID455" s="9"/>
      <c r="IE455" s="9"/>
      <c r="IF455" s="9"/>
      <c r="IG455" s="9"/>
      <c r="IH455" s="9"/>
      <c r="II455" s="9"/>
      <c r="IJ455" s="9"/>
      <c r="IK455" s="9"/>
      <c r="IL455" s="9"/>
      <c r="IM455" s="9"/>
      <c r="IN455" s="9"/>
      <c r="IO455" s="9"/>
      <c r="IP455" s="9"/>
      <c r="IQ455" s="9"/>
      <c r="IR455" s="9"/>
      <c r="IS455" s="9"/>
      <c r="IT455" s="9"/>
      <c r="IU455" s="9"/>
      <c r="IV455" s="9"/>
    </row>
    <row r="456" spans="1:256" outlineLevel="1">
      <c r="A456" s="16"/>
      <c r="B456" s="44"/>
      <c r="C456" s="20"/>
      <c r="D456" s="20"/>
      <c r="E456" s="20"/>
      <c r="F456" s="21"/>
      <c r="G456" s="21"/>
      <c r="H456" s="21"/>
      <c r="I456" s="21"/>
      <c r="J456" s="20"/>
      <c r="K456" s="21"/>
      <c r="L456" s="21"/>
      <c r="M456" s="21"/>
      <c r="N456" s="21"/>
      <c r="O456" s="21"/>
      <c r="P456" s="21"/>
      <c r="Q456" s="21"/>
      <c r="R456" s="20"/>
      <c r="S456" s="22">
        <f t="shared" si="34"/>
        <v>0</v>
      </c>
      <c r="T456" s="22">
        <f>COUNTIF($V$4:V456,V456)</f>
        <v>185</v>
      </c>
      <c r="U456" s="22" t="str">
        <f>IF(T456=1,COUNTIF($T$4:T456,1),"")</f>
        <v/>
      </c>
      <c r="V456" s="23" t="str">
        <f t="shared" si="35"/>
        <v/>
      </c>
      <c r="W456" s="23">
        <f t="shared" si="33"/>
        <v>0</v>
      </c>
      <c r="X456" s="24"/>
      <c r="Y456" s="23"/>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c r="EV456" s="9"/>
      <c r="EW456" s="9"/>
      <c r="EX456" s="9"/>
      <c r="EY456" s="9"/>
      <c r="EZ456" s="9"/>
      <c r="FA456" s="9"/>
      <c r="FB456" s="9"/>
      <c r="FC456" s="9"/>
      <c r="FD456" s="9"/>
      <c r="FE456" s="9"/>
      <c r="FF456" s="9"/>
      <c r="FG456" s="9"/>
      <c r="FH456" s="9"/>
      <c r="FI456" s="9"/>
      <c r="FJ456" s="9"/>
      <c r="FK456" s="9"/>
      <c r="FL456" s="9"/>
      <c r="FM456" s="9"/>
      <c r="FN456" s="9"/>
      <c r="FO456" s="9"/>
      <c r="FP456" s="9"/>
      <c r="FQ456" s="9"/>
      <c r="FR456" s="9"/>
      <c r="FS456" s="9"/>
      <c r="FT456" s="9"/>
      <c r="FU456" s="9"/>
      <c r="FV456" s="9"/>
      <c r="FW456" s="9"/>
      <c r="FX456" s="9"/>
      <c r="FY456" s="9"/>
      <c r="FZ456" s="9"/>
      <c r="GA456" s="9"/>
      <c r="GB456" s="9"/>
      <c r="GC456" s="9"/>
      <c r="GD456" s="9"/>
      <c r="GE456" s="9"/>
      <c r="GF456" s="9"/>
      <c r="GG456" s="9"/>
      <c r="GH456" s="9"/>
      <c r="GI456" s="9"/>
      <c r="GJ456" s="9"/>
      <c r="GK456" s="9"/>
      <c r="GL456" s="9"/>
      <c r="GM456" s="9"/>
      <c r="GN456" s="9"/>
      <c r="GO456" s="9"/>
      <c r="GP456" s="9"/>
      <c r="GQ456" s="9"/>
      <c r="GR456" s="9"/>
      <c r="GS456" s="9"/>
      <c r="GT456" s="9"/>
      <c r="GU456" s="9"/>
      <c r="GV456" s="9"/>
      <c r="GW456" s="9"/>
      <c r="GX456" s="9"/>
      <c r="GY456" s="9"/>
      <c r="GZ456" s="9"/>
      <c r="HA456" s="9"/>
      <c r="HB456" s="9"/>
      <c r="HC456" s="9"/>
      <c r="HD456" s="9"/>
      <c r="HE456" s="9"/>
      <c r="HF456" s="9"/>
      <c r="HG456" s="9"/>
      <c r="HH456" s="9"/>
      <c r="HI456" s="9"/>
      <c r="HJ456" s="9"/>
      <c r="HK456" s="9"/>
      <c r="HL456" s="9"/>
      <c r="HM456" s="9"/>
      <c r="HN456" s="9"/>
      <c r="HO456" s="9"/>
      <c r="HP456" s="9"/>
      <c r="HQ456" s="9"/>
      <c r="HR456" s="9"/>
      <c r="HS456" s="9"/>
      <c r="HT456" s="9"/>
      <c r="HU456" s="9"/>
      <c r="HV456" s="9"/>
      <c r="HW456" s="9"/>
      <c r="HX456" s="9"/>
      <c r="HY456" s="9"/>
      <c r="HZ456" s="9"/>
      <c r="IA456" s="9"/>
      <c r="IB456" s="9"/>
      <c r="IC456" s="9"/>
      <c r="ID456" s="9"/>
      <c r="IE456" s="9"/>
      <c r="IF456" s="9"/>
      <c r="IG456" s="9"/>
      <c r="IH456" s="9"/>
      <c r="II456" s="9"/>
      <c r="IJ456" s="9"/>
      <c r="IK456" s="9"/>
      <c r="IL456" s="9"/>
      <c r="IM456" s="9"/>
      <c r="IN456" s="9"/>
      <c r="IO456" s="9"/>
      <c r="IP456" s="9"/>
      <c r="IQ456" s="9"/>
      <c r="IR456" s="9"/>
      <c r="IS456" s="9"/>
      <c r="IT456" s="9"/>
      <c r="IU456" s="9"/>
      <c r="IV456" s="9"/>
    </row>
    <row r="457" spans="1:256" outlineLevel="1">
      <c r="A457" s="16"/>
      <c r="B457" s="44"/>
      <c r="C457" s="41"/>
      <c r="D457" s="20"/>
      <c r="E457" s="20"/>
      <c r="F457" s="21"/>
      <c r="G457" s="21"/>
      <c r="H457" s="21"/>
      <c r="I457" s="21"/>
      <c r="J457" s="20"/>
      <c r="K457" s="21"/>
      <c r="L457" s="21"/>
      <c r="M457" s="21"/>
      <c r="N457" s="21"/>
      <c r="O457" s="21"/>
      <c r="P457" s="21"/>
      <c r="Q457" s="21"/>
      <c r="R457" s="20"/>
      <c r="S457" s="22">
        <f t="shared" si="34"/>
        <v>0</v>
      </c>
      <c r="T457" s="22">
        <f>COUNTIF($V$4:V457,V457)</f>
        <v>186</v>
      </c>
      <c r="U457" s="22" t="str">
        <f>IF(T457=1,COUNTIF($T$4:T457,1),"")</f>
        <v/>
      </c>
      <c r="V457" s="23" t="str">
        <f t="shared" si="35"/>
        <v/>
      </c>
      <c r="W457" s="23">
        <f t="shared" si="33"/>
        <v>0</v>
      </c>
      <c r="X457" s="24"/>
      <c r="Y457" s="23"/>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c r="EV457" s="9"/>
      <c r="EW457" s="9"/>
      <c r="EX457" s="9"/>
      <c r="EY457" s="9"/>
      <c r="EZ457" s="9"/>
      <c r="FA457" s="9"/>
      <c r="FB457" s="9"/>
      <c r="FC457" s="9"/>
      <c r="FD457" s="9"/>
      <c r="FE457" s="9"/>
      <c r="FF457" s="9"/>
      <c r="FG457" s="9"/>
      <c r="FH457" s="9"/>
      <c r="FI457" s="9"/>
      <c r="FJ457" s="9"/>
      <c r="FK457" s="9"/>
      <c r="FL457" s="9"/>
      <c r="FM457" s="9"/>
      <c r="FN457" s="9"/>
      <c r="FO457" s="9"/>
      <c r="FP457" s="9"/>
      <c r="FQ457" s="9"/>
      <c r="FR457" s="9"/>
      <c r="FS457" s="9"/>
      <c r="FT457" s="9"/>
      <c r="FU457" s="9"/>
      <c r="FV457" s="9"/>
      <c r="FW457" s="9"/>
      <c r="FX457" s="9"/>
      <c r="FY457" s="9"/>
      <c r="FZ457" s="9"/>
      <c r="GA457" s="9"/>
      <c r="GB457" s="9"/>
      <c r="GC457" s="9"/>
      <c r="GD457" s="9"/>
      <c r="GE457" s="9"/>
      <c r="GF457" s="9"/>
      <c r="GG457" s="9"/>
      <c r="GH457" s="9"/>
      <c r="GI457" s="9"/>
      <c r="GJ457" s="9"/>
      <c r="GK457" s="9"/>
      <c r="GL457" s="9"/>
      <c r="GM457" s="9"/>
      <c r="GN457" s="9"/>
      <c r="GO457" s="9"/>
      <c r="GP457" s="9"/>
      <c r="GQ457" s="9"/>
      <c r="GR457" s="9"/>
      <c r="GS457" s="9"/>
      <c r="GT457" s="9"/>
      <c r="GU457" s="9"/>
      <c r="GV457" s="9"/>
      <c r="GW457" s="9"/>
      <c r="GX457" s="9"/>
      <c r="GY457" s="9"/>
      <c r="GZ457" s="9"/>
      <c r="HA457" s="9"/>
      <c r="HB457" s="9"/>
      <c r="HC457" s="9"/>
      <c r="HD457" s="9"/>
      <c r="HE457" s="9"/>
      <c r="HF457" s="9"/>
      <c r="HG457" s="9"/>
      <c r="HH457" s="9"/>
      <c r="HI457" s="9"/>
      <c r="HJ457" s="9"/>
      <c r="HK457" s="9"/>
      <c r="HL457" s="9"/>
      <c r="HM457" s="9"/>
      <c r="HN457" s="9"/>
      <c r="HO457" s="9"/>
      <c r="HP457" s="9"/>
      <c r="HQ457" s="9"/>
      <c r="HR457" s="9"/>
      <c r="HS457" s="9"/>
      <c r="HT457" s="9"/>
      <c r="HU457" s="9"/>
      <c r="HV457" s="9"/>
      <c r="HW457" s="9"/>
      <c r="HX457" s="9"/>
      <c r="HY457" s="9"/>
      <c r="HZ457" s="9"/>
      <c r="IA457" s="9"/>
      <c r="IB457" s="9"/>
      <c r="IC457" s="9"/>
      <c r="ID457" s="9"/>
      <c r="IE457" s="9"/>
      <c r="IF457" s="9"/>
      <c r="IG457" s="9"/>
      <c r="IH457" s="9"/>
      <c r="II457" s="9"/>
      <c r="IJ457" s="9"/>
      <c r="IK457" s="9"/>
      <c r="IL457" s="9"/>
      <c r="IM457" s="9"/>
      <c r="IN457" s="9"/>
      <c r="IO457" s="9"/>
      <c r="IP457" s="9"/>
      <c r="IQ457" s="9"/>
      <c r="IR457" s="9"/>
      <c r="IS457" s="9"/>
      <c r="IT457" s="9"/>
      <c r="IU457" s="9"/>
      <c r="IV457" s="9"/>
    </row>
    <row r="458" spans="1:256" outlineLevel="1">
      <c r="A458" s="16"/>
      <c r="B458" s="44"/>
      <c r="C458" s="20"/>
      <c r="D458" s="20"/>
      <c r="E458" s="20"/>
      <c r="F458" s="21"/>
      <c r="G458" s="21"/>
      <c r="H458" s="21"/>
      <c r="I458" s="21"/>
      <c r="J458" s="20"/>
      <c r="K458" s="21"/>
      <c r="L458" s="21"/>
      <c r="M458" s="21"/>
      <c r="N458" s="21"/>
      <c r="O458" s="21"/>
      <c r="P458" s="21"/>
      <c r="Q458" s="21"/>
      <c r="R458" s="20"/>
      <c r="S458" s="22">
        <f t="shared" si="34"/>
        <v>0</v>
      </c>
      <c r="T458" s="22">
        <f>COUNTIF($V$4:V458,V458)</f>
        <v>187</v>
      </c>
      <c r="U458" s="22" t="str">
        <f>IF(T458=1,COUNTIF($T$4:T458,1),"")</f>
        <v/>
      </c>
      <c r="V458" s="23" t="str">
        <f t="shared" si="35"/>
        <v/>
      </c>
      <c r="W458" s="23">
        <f t="shared" si="33"/>
        <v>0</v>
      </c>
      <c r="X458" s="24"/>
      <c r="Y458" s="23"/>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9"/>
      <c r="HQ458" s="9"/>
      <c r="HR458" s="9"/>
      <c r="HS458" s="9"/>
      <c r="HT458" s="9"/>
      <c r="HU458" s="9"/>
      <c r="HV458" s="9"/>
      <c r="HW458" s="9"/>
      <c r="HX458" s="9"/>
      <c r="HY458" s="9"/>
      <c r="HZ458" s="9"/>
      <c r="IA458" s="9"/>
      <c r="IB458" s="9"/>
      <c r="IC458" s="9"/>
      <c r="ID458" s="9"/>
      <c r="IE458" s="9"/>
      <c r="IF458" s="9"/>
      <c r="IG458" s="9"/>
      <c r="IH458" s="9"/>
      <c r="II458" s="9"/>
      <c r="IJ458" s="9"/>
      <c r="IK458" s="9"/>
      <c r="IL458" s="9"/>
      <c r="IM458" s="9"/>
      <c r="IN458" s="9"/>
      <c r="IO458" s="9"/>
      <c r="IP458" s="9"/>
      <c r="IQ458" s="9"/>
      <c r="IR458" s="9"/>
      <c r="IS458" s="9"/>
      <c r="IT458" s="9"/>
      <c r="IU458" s="9"/>
      <c r="IV458" s="9"/>
    </row>
    <row r="459" spans="1:256" outlineLevel="1">
      <c r="A459" s="16"/>
      <c r="B459" s="44"/>
      <c r="C459" s="20"/>
      <c r="D459" s="20"/>
      <c r="E459" s="20"/>
      <c r="F459" s="21"/>
      <c r="G459" s="21"/>
      <c r="H459" s="21"/>
      <c r="I459" s="21"/>
      <c r="J459" s="20"/>
      <c r="K459" s="21"/>
      <c r="L459" s="21"/>
      <c r="M459" s="21"/>
      <c r="N459" s="21"/>
      <c r="O459" s="21"/>
      <c r="P459" s="21"/>
      <c r="Q459" s="21"/>
      <c r="R459" s="20"/>
      <c r="S459" s="22">
        <f t="shared" si="34"/>
        <v>0</v>
      </c>
      <c r="T459" s="22">
        <f>COUNTIF($V$4:V459,V459)</f>
        <v>188</v>
      </c>
      <c r="U459" s="22" t="str">
        <f>IF(T459=1,COUNTIF($T$4:T459,1),"")</f>
        <v/>
      </c>
      <c r="V459" s="23" t="str">
        <f t="shared" si="35"/>
        <v/>
      </c>
      <c r="W459" s="23">
        <f t="shared" si="33"/>
        <v>0</v>
      </c>
      <c r="X459" s="24"/>
      <c r="Y459" s="23"/>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9"/>
      <c r="HQ459" s="9"/>
      <c r="HR459" s="9"/>
      <c r="HS459" s="9"/>
      <c r="HT459" s="9"/>
      <c r="HU459" s="9"/>
      <c r="HV459" s="9"/>
      <c r="HW459" s="9"/>
      <c r="HX459" s="9"/>
      <c r="HY459" s="9"/>
      <c r="HZ459" s="9"/>
      <c r="IA459" s="9"/>
      <c r="IB459" s="9"/>
      <c r="IC459" s="9"/>
      <c r="ID459" s="9"/>
      <c r="IE459" s="9"/>
      <c r="IF459" s="9"/>
      <c r="IG459" s="9"/>
      <c r="IH459" s="9"/>
      <c r="II459" s="9"/>
      <c r="IJ459" s="9"/>
      <c r="IK459" s="9"/>
      <c r="IL459" s="9"/>
      <c r="IM459" s="9"/>
      <c r="IN459" s="9"/>
      <c r="IO459" s="9"/>
      <c r="IP459" s="9"/>
      <c r="IQ459" s="9"/>
      <c r="IR459" s="9"/>
      <c r="IS459" s="9"/>
      <c r="IT459" s="9"/>
      <c r="IU459" s="9"/>
      <c r="IV459" s="9"/>
    </row>
    <row r="460" spans="1:256" outlineLevel="1">
      <c r="A460" s="16"/>
      <c r="B460" s="44"/>
      <c r="C460" s="20"/>
      <c r="D460" s="20"/>
      <c r="E460" s="20"/>
      <c r="F460" s="21"/>
      <c r="G460" s="21"/>
      <c r="H460" s="21"/>
      <c r="I460" s="21"/>
      <c r="J460" s="20"/>
      <c r="K460" s="21"/>
      <c r="L460" s="21"/>
      <c r="M460" s="21"/>
      <c r="N460" s="21"/>
      <c r="O460" s="21"/>
      <c r="P460" s="21"/>
      <c r="Q460" s="21"/>
      <c r="R460" s="20"/>
      <c r="S460" s="22">
        <f t="shared" si="34"/>
        <v>0</v>
      </c>
      <c r="T460" s="22">
        <f>COUNTIF($V$4:V460,V460)</f>
        <v>189</v>
      </c>
      <c r="U460" s="22" t="str">
        <f>IF(T460=1,COUNTIF($T$4:T460,1),"")</f>
        <v/>
      </c>
      <c r="V460" s="23" t="str">
        <f t="shared" si="35"/>
        <v/>
      </c>
      <c r="W460" s="23">
        <f t="shared" si="33"/>
        <v>0</v>
      </c>
      <c r="X460" s="24"/>
      <c r="Y460" s="23"/>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c r="EV460" s="9"/>
      <c r="EW460" s="9"/>
      <c r="EX460" s="9"/>
      <c r="EY460" s="9"/>
      <c r="EZ460" s="9"/>
      <c r="FA460" s="9"/>
      <c r="FB460" s="9"/>
      <c r="FC460" s="9"/>
      <c r="FD460" s="9"/>
      <c r="FE460" s="9"/>
      <c r="FF460" s="9"/>
      <c r="FG460" s="9"/>
      <c r="FH460" s="9"/>
      <c r="FI460" s="9"/>
      <c r="FJ460" s="9"/>
      <c r="FK460" s="9"/>
      <c r="FL460" s="9"/>
      <c r="FM460" s="9"/>
      <c r="FN460" s="9"/>
      <c r="FO460" s="9"/>
      <c r="FP460" s="9"/>
      <c r="FQ460" s="9"/>
      <c r="FR460" s="9"/>
      <c r="FS460" s="9"/>
      <c r="FT460" s="9"/>
      <c r="FU460" s="9"/>
      <c r="FV460" s="9"/>
      <c r="FW460" s="9"/>
      <c r="FX460" s="9"/>
      <c r="FY460" s="9"/>
      <c r="FZ460" s="9"/>
      <c r="GA460" s="9"/>
      <c r="GB460" s="9"/>
      <c r="GC460" s="9"/>
      <c r="GD460" s="9"/>
      <c r="GE460" s="9"/>
      <c r="GF460" s="9"/>
      <c r="GG460" s="9"/>
      <c r="GH460" s="9"/>
      <c r="GI460" s="9"/>
      <c r="GJ460" s="9"/>
      <c r="GK460" s="9"/>
      <c r="GL460" s="9"/>
      <c r="GM460" s="9"/>
      <c r="GN460" s="9"/>
      <c r="GO460" s="9"/>
      <c r="GP460" s="9"/>
      <c r="GQ460" s="9"/>
      <c r="GR460" s="9"/>
      <c r="GS460" s="9"/>
      <c r="GT460" s="9"/>
      <c r="GU460" s="9"/>
      <c r="GV460" s="9"/>
      <c r="GW460" s="9"/>
      <c r="GX460" s="9"/>
      <c r="GY460" s="9"/>
      <c r="GZ460" s="9"/>
      <c r="HA460" s="9"/>
      <c r="HB460" s="9"/>
      <c r="HC460" s="9"/>
      <c r="HD460" s="9"/>
      <c r="HE460" s="9"/>
      <c r="HF460" s="9"/>
      <c r="HG460" s="9"/>
      <c r="HH460" s="9"/>
      <c r="HI460" s="9"/>
      <c r="HJ460" s="9"/>
      <c r="HK460" s="9"/>
      <c r="HL460" s="9"/>
      <c r="HM460" s="9"/>
      <c r="HN460" s="9"/>
      <c r="HO460" s="9"/>
      <c r="HP460" s="9"/>
      <c r="HQ460" s="9"/>
      <c r="HR460" s="9"/>
      <c r="HS460" s="9"/>
      <c r="HT460" s="9"/>
      <c r="HU460" s="9"/>
      <c r="HV460" s="9"/>
      <c r="HW460" s="9"/>
      <c r="HX460" s="9"/>
      <c r="HY460" s="9"/>
      <c r="HZ460" s="9"/>
      <c r="IA460" s="9"/>
      <c r="IB460" s="9"/>
      <c r="IC460" s="9"/>
      <c r="ID460" s="9"/>
      <c r="IE460" s="9"/>
      <c r="IF460" s="9"/>
      <c r="IG460" s="9"/>
      <c r="IH460" s="9"/>
      <c r="II460" s="9"/>
      <c r="IJ460" s="9"/>
      <c r="IK460" s="9"/>
      <c r="IL460" s="9"/>
      <c r="IM460" s="9"/>
      <c r="IN460" s="9"/>
      <c r="IO460" s="9"/>
      <c r="IP460" s="9"/>
      <c r="IQ460" s="9"/>
      <c r="IR460" s="9"/>
      <c r="IS460" s="9"/>
      <c r="IT460" s="9"/>
      <c r="IU460" s="9"/>
      <c r="IV460" s="9"/>
    </row>
    <row r="461" spans="1:256" outlineLevel="1">
      <c r="A461" s="16"/>
      <c r="B461" s="44"/>
      <c r="C461" s="20"/>
      <c r="D461" s="20"/>
      <c r="E461" s="20"/>
      <c r="F461" s="21"/>
      <c r="G461" s="21"/>
      <c r="H461" s="21"/>
      <c r="I461" s="21"/>
      <c r="J461" s="20"/>
      <c r="K461" s="21"/>
      <c r="L461" s="21"/>
      <c r="M461" s="21"/>
      <c r="N461" s="21"/>
      <c r="O461" s="21"/>
      <c r="P461" s="21"/>
      <c r="Q461" s="21"/>
      <c r="R461" s="20"/>
      <c r="S461" s="22">
        <f t="shared" si="34"/>
        <v>0</v>
      </c>
      <c r="T461" s="22">
        <f>COUNTIF($V$4:V461,V461)</f>
        <v>190</v>
      </c>
      <c r="U461" s="22" t="str">
        <f>IF(T461=1,COUNTIF($T$4:T461,1),"")</f>
        <v/>
      </c>
      <c r="V461" s="23" t="str">
        <f t="shared" si="35"/>
        <v/>
      </c>
      <c r="W461" s="23">
        <f t="shared" si="33"/>
        <v>0</v>
      </c>
      <c r="X461" s="24"/>
      <c r="Y461" s="23"/>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c r="EV461" s="9"/>
      <c r="EW461" s="9"/>
      <c r="EX461" s="9"/>
      <c r="EY461" s="9"/>
      <c r="EZ461" s="9"/>
      <c r="FA461" s="9"/>
      <c r="FB461" s="9"/>
      <c r="FC461" s="9"/>
      <c r="FD461" s="9"/>
      <c r="FE461" s="9"/>
      <c r="FF461" s="9"/>
      <c r="FG461" s="9"/>
      <c r="FH461" s="9"/>
      <c r="FI461" s="9"/>
      <c r="FJ461" s="9"/>
      <c r="FK461" s="9"/>
      <c r="FL461" s="9"/>
      <c r="FM461" s="9"/>
      <c r="FN461" s="9"/>
      <c r="FO461" s="9"/>
      <c r="FP461" s="9"/>
      <c r="FQ461" s="9"/>
      <c r="FR461" s="9"/>
      <c r="FS461" s="9"/>
      <c r="FT461" s="9"/>
      <c r="FU461" s="9"/>
      <c r="FV461" s="9"/>
      <c r="FW461" s="9"/>
      <c r="FX461" s="9"/>
      <c r="FY461" s="9"/>
      <c r="FZ461" s="9"/>
      <c r="GA461" s="9"/>
      <c r="GB461" s="9"/>
      <c r="GC461" s="9"/>
      <c r="GD461" s="9"/>
      <c r="GE461" s="9"/>
      <c r="GF461" s="9"/>
      <c r="GG461" s="9"/>
      <c r="GH461" s="9"/>
      <c r="GI461" s="9"/>
      <c r="GJ461" s="9"/>
      <c r="GK461" s="9"/>
      <c r="GL461" s="9"/>
      <c r="GM461" s="9"/>
      <c r="GN461" s="9"/>
      <c r="GO461" s="9"/>
      <c r="GP461" s="9"/>
      <c r="GQ461" s="9"/>
      <c r="GR461" s="9"/>
      <c r="GS461" s="9"/>
      <c r="GT461" s="9"/>
      <c r="GU461" s="9"/>
      <c r="GV461" s="9"/>
      <c r="GW461" s="9"/>
      <c r="GX461" s="9"/>
      <c r="GY461" s="9"/>
      <c r="GZ461" s="9"/>
      <c r="HA461" s="9"/>
      <c r="HB461" s="9"/>
      <c r="HC461" s="9"/>
      <c r="HD461" s="9"/>
      <c r="HE461" s="9"/>
      <c r="HF461" s="9"/>
      <c r="HG461" s="9"/>
      <c r="HH461" s="9"/>
      <c r="HI461" s="9"/>
      <c r="HJ461" s="9"/>
      <c r="HK461" s="9"/>
      <c r="HL461" s="9"/>
      <c r="HM461" s="9"/>
      <c r="HN461" s="9"/>
      <c r="HO461" s="9"/>
      <c r="HP461" s="9"/>
      <c r="HQ461" s="9"/>
      <c r="HR461" s="9"/>
      <c r="HS461" s="9"/>
      <c r="HT461" s="9"/>
      <c r="HU461" s="9"/>
      <c r="HV461" s="9"/>
      <c r="HW461" s="9"/>
      <c r="HX461" s="9"/>
      <c r="HY461" s="9"/>
      <c r="HZ461" s="9"/>
      <c r="IA461" s="9"/>
      <c r="IB461" s="9"/>
      <c r="IC461" s="9"/>
      <c r="ID461" s="9"/>
      <c r="IE461" s="9"/>
      <c r="IF461" s="9"/>
      <c r="IG461" s="9"/>
      <c r="IH461" s="9"/>
      <c r="II461" s="9"/>
      <c r="IJ461" s="9"/>
      <c r="IK461" s="9"/>
      <c r="IL461" s="9"/>
      <c r="IM461" s="9"/>
      <c r="IN461" s="9"/>
      <c r="IO461" s="9"/>
      <c r="IP461" s="9"/>
      <c r="IQ461" s="9"/>
      <c r="IR461" s="9"/>
      <c r="IS461" s="9"/>
      <c r="IT461" s="9"/>
      <c r="IU461" s="9"/>
      <c r="IV461" s="9"/>
    </row>
    <row r="462" spans="1:256" outlineLevel="1">
      <c r="A462" s="16"/>
      <c r="B462" s="44"/>
      <c r="C462" s="20"/>
      <c r="D462" s="20"/>
      <c r="E462" s="20"/>
      <c r="F462" s="21"/>
      <c r="G462" s="21"/>
      <c r="H462" s="21"/>
      <c r="I462" s="21"/>
      <c r="J462" s="20"/>
      <c r="K462" s="21"/>
      <c r="L462" s="21"/>
      <c r="M462" s="21"/>
      <c r="N462" s="21"/>
      <c r="O462" s="21"/>
      <c r="P462" s="21"/>
      <c r="Q462" s="21"/>
      <c r="R462" s="20"/>
      <c r="S462" s="22">
        <f t="shared" si="34"/>
        <v>0</v>
      </c>
      <c r="T462" s="22">
        <f>COUNTIF($V$4:V462,V462)</f>
        <v>191</v>
      </c>
      <c r="U462" s="22" t="str">
        <f>IF(T462=1,COUNTIF($T$4:T462,1),"")</f>
        <v/>
      </c>
      <c r="V462" s="23" t="str">
        <f t="shared" si="35"/>
        <v/>
      </c>
      <c r="W462" s="23">
        <f t="shared" si="33"/>
        <v>0</v>
      </c>
      <c r="X462" s="24"/>
      <c r="Y462" s="23"/>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c r="EV462" s="9"/>
      <c r="EW462" s="9"/>
      <c r="EX462" s="9"/>
      <c r="EY462" s="9"/>
      <c r="EZ462" s="9"/>
      <c r="FA462" s="9"/>
      <c r="FB462" s="9"/>
      <c r="FC462" s="9"/>
      <c r="FD462" s="9"/>
      <c r="FE462" s="9"/>
      <c r="FF462" s="9"/>
      <c r="FG462" s="9"/>
      <c r="FH462" s="9"/>
      <c r="FI462" s="9"/>
      <c r="FJ462" s="9"/>
      <c r="FK462" s="9"/>
      <c r="FL462" s="9"/>
      <c r="FM462" s="9"/>
      <c r="FN462" s="9"/>
      <c r="FO462" s="9"/>
      <c r="FP462" s="9"/>
      <c r="FQ462" s="9"/>
      <c r="FR462" s="9"/>
      <c r="FS462" s="9"/>
      <c r="FT462" s="9"/>
      <c r="FU462" s="9"/>
      <c r="FV462" s="9"/>
      <c r="FW462" s="9"/>
      <c r="FX462" s="9"/>
      <c r="FY462" s="9"/>
      <c r="FZ462" s="9"/>
      <c r="GA462" s="9"/>
      <c r="GB462" s="9"/>
      <c r="GC462" s="9"/>
      <c r="GD462" s="9"/>
      <c r="GE462" s="9"/>
      <c r="GF462" s="9"/>
      <c r="GG462" s="9"/>
      <c r="GH462" s="9"/>
      <c r="GI462" s="9"/>
      <c r="GJ462" s="9"/>
      <c r="GK462" s="9"/>
      <c r="GL462" s="9"/>
      <c r="GM462" s="9"/>
      <c r="GN462" s="9"/>
      <c r="GO462" s="9"/>
      <c r="GP462" s="9"/>
      <c r="GQ462" s="9"/>
      <c r="GR462" s="9"/>
      <c r="GS462" s="9"/>
      <c r="GT462" s="9"/>
      <c r="GU462" s="9"/>
      <c r="GV462" s="9"/>
      <c r="GW462" s="9"/>
      <c r="GX462" s="9"/>
      <c r="GY462" s="9"/>
      <c r="GZ462" s="9"/>
      <c r="HA462" s="9"/>
      <c r="HB462" s="9"/>
      <c r="HC462" s="9"/>
      <c r="HD462" s="9"/>
      <c r="HE462" s="9"/>
      <c r="HF462" s="9"/>
      <c r="HG462" s="9"/>
      <c r="HH462" s="9"/>
      <c r="HI462" s="9"/>
      <c r="HJ462" s="9"/>
      <c r="HK462" s="9"/>
      <c r="HL462" s="9"/>
      <c r="HM462" s="9"/>
      <c r="HN462" s="9"/>
      <c r="HO462" s="9"/>
      <c r="HP462" s="9"/>
      <c r="HQ462" s="9"/>
      <c r="HR462" s="9"/>
      <c r="HS462" s="9"/>
      <c r="HT462" s="9"/>
      <c r="HU462" s="9"/>
      <c r="HV462" s="9"/>
      <c r="HW462" s="9"/>
      <c r="HX462" s="9"/>
      <c r="HY462" s="9"/>
      <c r="HZ462" s="9"/>
      <c r="IA462" s="9"/>
      <c r="IB462" s="9"/>
      <c r="IC462" s="9"/>
      <c r="ID462" s="9"/>
      <c r="IE462" s="9"/>
      <c r="IF462" s="9"/>
      <c r="IG462" s="9"/>
      <c r="IH462" s="9"/>
      <c r="II462" s="9"/>
      <c r="IJ462" s="9"/>
      <c r="IK462" s="9"/>
      <c r="IL462" s="9"/>
      <c r="IM462" s="9"/>
      <c r="IN462" s="9"/>
      <c r="IO462" s="9"/>
      <c r="IP462" s="9"/>
      <c r="IQ462" s="9"/>
      <c r="IR462" s="9"/>
      <c r="IS462" s="9"/>
      <c r="IT462" s="9"/>
      <c r="IU462" s="9"/>
      <c r="IV462" s="9"/>
    </row>
    <row r="463" spans="1:256" outlineLevel="1">
      <c r="A463" s="16"/>
      <c r="B463" s="44"/>
      <c r="C463" s="20"/>
      <c r="D463" s="20"/>
      <c r="E463" s="20"/>
      <c r="F463" s="21"/>
      <c r="G463" s="21"/>
      <c r="H463" s="21"/>
      <c r="I463" s="21"/>
      <c r="J463" s="20"/>
      <c r="K463" s="21"/>
      <c r="L463" s="21"/>
      <c r="M463" s="21"/>
      <c r="N463" s="21"/>
      <c r="O463" s="21"/>
      <c r="P463" s="21"/>
      <c r="Q463" s="21"/>
      <c r="R463" s="20"/>
      <c r="S463" s="22">
        <f t="shared" si="34"/>
        <v>0</v>
      </c>
      <c r="T463" s="22">
        <f>COUNTIF($V$4:V463,V463)</f>
        <v>192</v>
      </c>
      <c r="U463" s="22" t="str">
        <f>IF(T463=1,COUNTIF($T$4:T463,1),"")</f>
        <v/>
      </c>
      <c r="V463" s="23" t="str">
        <f t="shared" si="35"/>
        <v/>
      </c>
      <c r="W463" s="23">
        <f t="shared" si="33"/>
        <v>0</v>
      </c>
      <c r="X463" s="24"/>
      <c r="Y463" s="23"/>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c r="EV463" s="9"/>
      <c r="EW463" s="9"/>
      <c r="EX463" s="9"/>
      <c r="EY463" s="9"/>
      <c r="EZ463" s="9"/>
      <c r="FA463" s="9"/>
      <c r="FB463" s="9"/>
      <c r="FC463" s="9"/>
      <c r="FD463" s="9"/>
      <c r="FE463" s="9"/>
      <c r="FF463" s="9"/>
      <c r="FG463" s="9"/>
      <c r="FH463" s="9"/>
      <c r="FI463" s="9"/>
      <c r="FJ463" s="9"/>
      <c r="FK463" s="9"/>
      <c r="FL463" s="9"/>
      <c r="FM463" s="9"/>
      <c r="FN463" s="9"/>
      <c r="FO463" s="9"/>
      <c r="FP463" s="9"/>
      <c r="FQ463" s="9"/>
      <c r="FR463" s="9"/>
      <c r="FS463" s="9"/>
      <c r="FT463" s="9"/>
      <c r="FU463" s="9"/>
      <c r="FV463" s="9"/>
      <c r="FW463" s="9"/>
      <c r="FX463" s="9"/>
      <c r="FY463" s="9"/>
      <c r="FZ463" s="9"/>
      <c r="GA463" s="9"/>
      <c r="GB463" s="9"/>
      <c r="GC463" s="9"/>
      <c r="GD463" s="9"/>
      <c r="GE463" s="9"/>
      <c r="GF463" s="9"/>
      <c r="GG463" s="9"/>
      <c r="GH463" s="9"/>
      <c r="GI463" s="9"/>
      <c r="GJ463" s="9"/>
      <c r="GK463" s="9"/>
      <c r="GL463" s="9"/>
      <c r="GM463" s="9"/>
      <c r="GN463" s="9"/>
      <c r="GO463" s="9"/>
      <c r="GP463" s="9"/>
      <c r="GQ463" s="9"/>
      <c r="GR463" s="9"/>
      <c r="GS463" s="9"/>
      <c r="GT463" s="9"/>
      <c r="GU463" s="9"/>
      <c r="GV463" s="9"/>
      <c r="GW463" s="9"/>
      <c r="GX463" s="9"/>
      <c r="GY463" s="9"/>
      <c r="GZ463" s="9"/>
      <c r="HA463" s="9"/>
      <c r="HB463" s="9"/>
      <c r="HC463" s="9"/>
      <c r="HD463" s="9"/>
      <c r="HE463" s="9"/>
      <c r="HF463" s="9"/>
      <c r="HG463" s="9"/>
      <c r="HH463" s="9"/>
      <c r="HI463" s="9"/>
      <c r="HJ463" s="9"/>
      <c r="HK463" s="9"/>
      <c r="HL463" s="9"/>
      <c r="HM463" s="9"/>
      <c r="HN463" s="9"/>
      <c r="HO463" s="9"/>
      <c r="HP463" s="9"/>
      <c r="HQ463" s="9"/>
      <c r="HR463" s="9"/>
      <c r="HS463" s="9"/>
      <c r="HT463" s="9"/>
      <c r="HU463" s="9"/>
      <c r="HV463" s="9"/>
      <c r="HW463" s="9"/>
      <c r="HX463" s="9"/>
      <c r="HY463" s="9"/>
      <c r="HZ463" s="9"/>
      <c r="IA463" s="9"/>
      <c r="IB463" s="9"/>
      <c r="IC463" s="9"/>
      <c r="ID463" s="9"/>
      <c r="IE463" s="9"/>
      <c r="IF463" s="9"/>
      <c r="IG463" s="9"/>
      <c r="IH463" s="9"/>
      <c r="II463" s="9"/>
      <c r="IJ463" s="9"/>
      <c r="IK463" s="9"/>
      <c r="IL463" s="9"/>
      <c r="IM463" s="9"/>
      <c r="IN463" s="9"/>
      <c r="IO463" s="9"/>
      <c r="IP463" s="9"/>
      <c r="IQ463" s="9"/>
      <c r="IR463" s="9"/>
      <c r="IS463" s="9"/>
      <c r="IT463" s="9"/>
      <c r="IU463" s="9"/>
      <c r="IV463" s="9"/>
    </row>
    <row r="464" spans="1:256" outlineLevel="1">
      <c r="A464" s="16"/>
      <c r="B464" s="44"/>
      <c r="C464" s="20"/>
      <c r="D464" s="20"/>
      <c r="E464" s="20"/>
      <c r="F464" s="21"/>
      <c r="G464" s="21"/>
      <c r="H464" s="21"/>
      <c r="I464" s="21"/>
      <c r="J464" s="20"/>
      <c r="K464" s="21"/>
      <c r="L464" s="21"/>
      <c r="M464" s="21"/>
      <c r="N464" s="21"/>
      <c r="O464" s="21"/>
      <c r="P464" s="21"/>
      <c r="Q464" s="21"/>
      <c r="R464" s="20"/>
      <c r="S464" s="22">
        <f t="shared" si="34"/>
        <v>0</v>
      </c>
      <c r="T464" s="22">
        <f>COUNTIF($V$4:V464,V464)</f>
        <v>193</v>
      </c>
      <c r="U464" s="22" t="str">
        <f>IF(T464=1,COUNTIF($T$4:T464,1),"")</f>
        <v/>
      </c>
      <c r="V464" s="23" t="str">
        <f t="shared" si="35"/>
        <v/>
      </c>
      <c r="W464" s="23">
        <f t="shared" si="33"/>
        <v>0</v>
      </c>
      <c r="X464" s="24"/>
      <c r="Y464" s="23"/>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c r="EV464" s="9"/>
      <c r="EW464" s="9"/>
      <c r="EX464" s="9"/>
      <c r="EY464" s="9"/>
      <c r="EZ464" s="9"/>
      <c r="FA464" s="9"/>
      <c r="FB464" s="9"/>
      <c r="FC464" s="9"/>
      <c r="FD464" s="9"/>
      <c r="FE464" s="9"/>
      <c r="FF464" s="9"/>
      <c r="FG464" s="9"/>
      <c r="FH464" s="9"/>
      <c r="FI464" s="9"/>
      <c r="FJ464" s="9"/>
      <c r="FK464" s="9"/>
      <c r="FL464" s="9"/>
      <c r="FM464" s="9"/>
      <c r="FN464" s="9"/>
      <c r="FO464" s="9"/>
      <c r="FP464" s="9"/>
      <c r="FQ464" s="9"/>
      <c r="FR464" s="9"/>
      <c r="FS464" s="9"/>
      <c r="FT464" s="9"/>
      <c r="FU464" s="9"/>
      <c r="FV464" s="9"/>
      <c r="FW464" s="9"/>
      <c r="FX464" s="9"/>
      <c r="FY464" s="9"/>
      <c r="FZ464" s="9"/>
      <c r="GA464" s="9"/>
      <c r="GB464" s="9"/>
      <c r="GC464" s="9"/>
      <c r="GD464" s="9"/>
      <c r="GE464" s="9"/>
      <c r="GF464" s="9"/>
      <c r="GG464" s="9"/>
      <c r="GH464" s="9"/>
      <c r="GI464" s="9"/>
      <c r="GJ464" s="9"/>
      <c r="GK464" s="9"/>
      <c r="GL464" s="9"/>
      <c r="GM464" s="9"/>
      <c r="GN464" s="9"/>
      <c r="GO464" s="9"/>
      <c r="GP464" s="9"/>
      <c r="GQ464" s="9"/>
      <c r="GR464" s="9"/>
      <c r="GS464" s="9"/>
      <c r="GT464" s="9"/>
      <c r="GU464" s="9"/>
      <c r="GV464" s="9"/>
      <c r="GW464" s="9"/>
      <c r="GX464" s="9"/>
      <c r="GY464" s="9"/>
      <c r="GZ464" s="9"/>
      <c r="HA464" s="9"/>
      <c r="HB464" s="9"/>
      <c r="HC464" s="9"/>
      <c r="HD464" s="9"/>
      <c r="HE464" s="9"/>
      <c r="HF464" s="9"/>
      <c r="HG464" s="9"/>
      <c r="HH464" s="9"/>
      <c r="HI464" s="9"/>
      <c r="HJ464" s="9"/>
      <c r="HK464" s="9"/>
      <c r="HL464" s="9"/>
      <c r="HM464" s="9"/>
      <c r="HN464" s="9"/>
      <c r="HO464" s="9"/>
      <c r="HP464" s="9"/>
      <c r="HQ464" s="9"/>
      <c r="HR464" s="9"/>
      <c r="HS464" s="9"/>
      <c r="HT464" s="9"/>
      <c r="HU464" s="9"/>
      <c r="HV464" s="9"/>
      <c r="HW464" s="9"/>
      <c r="HX464" s="9"/>
      <c r="HY464" s="9"/>
      <c r="HZ464" s="9"/>
      <c r="IA464" s="9"/>
      <c r="IB464" s="9"/>
      <c r="IC464" s="9"/>
      <c r="ID464" s="9"/>
      <c r="IE464" s="9"/>
      <c r="IF464" s="9"/>
      <c r="IG464" s="9"/>
      <c r="IH464" s="9"/>
      <c r="II464" s="9"/>
      <c r="IJ464" s="9"/>
      <c r="IK464" s="9"/>
      <c r="IL464" s="9"/>
      <c r="IM464" s="9"/>
      <c r="IN464" s="9"/>
      <c r="IO464" s="9"/>
      <c r="IP464" s="9"/>
      <c r="IQ464" s="9"/>
      <c r="IR464" s="9"/>
      <c r="IS464" s="9"/>
      <c r="IT464" s="9"/>
      <c r="IU464" s="9"/>
      <c r="IV464" s="9"/>
    </row>
    <row r="465" spans="1:256" outlineLevel="1">
      <c r="A465" s="16"/>
      <c r="B465" s="44"/>
      <c r="C465" s="20"/>
      <c r="D465" s="20"/>
      <c r="E465" s="20"/>
      <c r="F465" s="21"/>
      <c r="G465" s="21"/>
      <c r="H465" s="21"/>
      <c r="I465" s="21"/>
      <c r="J465" s="20"/>
      <c r="K465" s="21"/>
      <c r="L465" s="21"/>
      <c r="M465" s="21"/>
      <c r="N465" s="21"/>
      <c r="O465" s="21"/>
      <c r="P465" s="21"/>
      <c r="Q465" s="21"/>
      <c r="R465" s="20"/>
      <c r="S465" s="22">
        <f t="shared" si="34"/>
        <v>0</v>
      </c>
      <c r="T465" s="22">
        <f>COUNTIF($V$4:V465,V465)</f>
        <v>194</v>
      </c>
      <c r="U465" s="22" t="str">
        <f>IF(T465=1,COUNTIF($T$4:T465,1),"")</f>
        <v/>
      </c>
      <c r="V465" s="23" t="str">
        <f t="shared" si="35"/>
        <v/>
      </c>
      <c r="W465" s="23">
        <f t="shared" si="33"/>
        <v>0</v>
      </c>
      <c r="X465" s="24"/>
      <c r="Y465" s="23"/>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c r="EV465" s="9"/>
      <c r="EW465" s="9"/>
      <c r="EX465" s="9"/>
      <c r="EY465" s="9"/>
      <c r="EZ465" s="9"/>
      <c r="FA465" s="9"/>
      <c r="FB465" s="9"/>
      <c r="FC465" s="9"/>
      <c r="FD465" s="9"/>
      <c r="FE465" s="9"/>
      <c r="FF465" s="9"/>
      <c r="FG465" s="9"/>
      <c r="FH465" s="9"/>
      <c r="FI465" s="9"/>
      <c r="FJ465" s="9"/>
      <c r="FK465" s="9"/>
      <c r="FL465" s="9"/>
      <c r="FM465" s="9"/>
      <c r="FN465" s="9"/>
      <c r="FO465" s="9"/>
      <c r="FP465" s="9"/>
      <c r="FQ465" s="9"/>
      <c r="FR465" s="9"/>
      <c r="FS465" s="9"/>
      <c r="FT465" s="9"/>
      <c r="FU465" s="9"/>
      <c r="FV465" s="9"/>
      <c r="FW465" s="9"/>
      <c r="FX465" s="9"/>
      <c r="FY465" s="9"/>
      <c r="FZ465" s="9"/>
      <c r="GA465" s="9"/>
      <c r="GB465" s="9"/>
      <c r="GC465" s="9"/>
      <c r="GD465" s="9"/>
      <c r="GE465" s="9"/>
      <c r="GF465" s="9"/>
      <c r="GG465" s="9"/>
      <c r="GH465" s="9"/>
      <c r="GI465" s="9"/>
      <c r="GJ465" s="9"/>
      <c r="GK465" s="9"/>
      <c r="GL465" s="9"/>
      <c r="GM465" s="9"/>
      <c r="GN465" s="9"/>
      <c r="GO465" s="9"/>
      <c r="GP465" s="9"/>
      <c r="GQ465" s="9"/>
      <c r="GR465" s="9"/>
      <c r="GS465" s="9"/>
      <c r="GT465" s="9"/>
      <c r="GU465" s="9"/>
      <c r="GV465" s="9"/>
      <c r="GW465" s="9"/>
      <c r="GX465" s="9"/>
      <c r="GY465" s="9"/>
      <c r="GZ465" s="9"/>
      <c r="HA465" s="9"/>
      <c r="HB465" s="9"/>
      <c r="HC465" s="9"/>
      <c r="HD465" s="9"/>
      <c r="HE465" s="9"/>
      <c r="HF465" s="9"/>
      <c r="HG465" s="9"/>
      <c r="HH465" s="9"/>
      <c r="HI465" s="9"/>
      <c r="HJ465" s="9"/>
      <c r="HK465" s="9"/>
      <c r="HL465" s="9"/>
      <c r="HM465" s="9"/>
      <c r="HN465" s="9"/>
      <c r="HO465" s="9"/>
      <c r="HP465" s="9"/>
      <c r="HQ465" s="9"/>
      <c r="HR465" s="9"/>
      <c r="HS465" s="9"/>
      <c r="HT465" s="9"/>
      <c r="HU465" s="9"/>
      <c r="HV465" s="9"/>
      <c r="HW465" s="9"/>
      <c r="HX465" s="9"/>
      <c r="HY465" s="9"/>
      <c r="HZ465" s="9"/>
      <c r="IA465" s="9"/>
      <c r="IB465" s="9"/>
      <c r="IC465" s="9"/>
      <c r="ID465" s="9"/>
      <c r="IE465" s="9"/>
      <c r="IF465" s="9"/>
      <c r="IG465" s="9"/>
      <c r="IH465" s="9"/>
      <c r="II465" s="9"/>
      <c r="IJ465" s="9"/>
      <c r="IK465" s="9"/>
      <c r="IL465" s="9"/>
      <c r="IM465" s="9"/>
      <c r="IN465" s="9"/>
      <c r="IO465" s="9"/>
      <c r="IP465" s="9"/>
      <c r="IQ465" s="9"/>
      <c r="IR465" s="9"/>
      <c r="IS465" s="9"/>
      <c r="IT465" s="9"/>
      <c r="IU465" s="9"/>
      <c r="IV465" s="9"/>
    </row>
    <row r="466" spans="1:256" outlineLevel="1">
      <c r="A466" s="16"/>
      <c r="B466" s="44"/>
      <c r="C466" s="20"/>
      <c r="D466" s="20"/>
      <c r="E466" s="20"/>
      <c r="F466" s="21"/>
      <c r="G466" s="21"/>
      <c r="H466" s="21"/>
      <c r="I466" s="21"/>
      <c r="J466" s="20"/>
      <c r="K466" s="21"/>
      <c r="L466" s="21"/>
      <c r="M466" s="21"/>
      <c r="N466" s="21"/>
      <c r="O466" s="21"/>
      <c r="P466" s="21"/>
      <c r="Q466" s="21"/>
      <c r="R466" s="20"/>
      <c r="S466" s="22">
        <f t="shared" si="34"/>
        <v>0</v>
      </c>
      <c r="T466" s="22">
        <f>COUNTIF($V$4:V466,V466)</f>
        <v>195</v>
      </c>
      <c r="U466" s="22" t="str">
        <f>IF(T466=1,COUNTIF($T$4:T466,1),"")</f>
        <v/>
      </c>
      <c r="V466" s="23" t="str">
        <f t="shared" si="35"/>
        <v/>
      </c>
      <c r="W466" s="23">
        <f t="shared" si="33"/>
        <v>0</v>
      </c>
      <c r="X466" s="24"/>
      <c r="Y466" s="23"/>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c r="EB466" s="9"/>
      <c r="EC466" s="9"/>
      <c r="ED466" s="9"/>
      <c r="EE466" s="9"/>
      <c r="EF466" s="9"/>
      <c r="EG466" s="9"/>
      <c r="EH466" s="9"/>
      <c r="EI466" s="9"/>
      <c r="EJ466" s="9"/>
      <c r="EK466" s="9"/>
      <c r="EL466" s="9"/>
      <c r="EM466" s="9"/>
      <c r="EN466" s="9"/>
      <c r="EO466" s="9"/>
      <c r="EP466" s="9"/>
      <c r="EQ466" s="9"/>
      <c r="ER466" s="9"/>
      <c r="ES466" s="9"/>
      <c r="ET466" s="9"/>
      <c r="EU466" s="9"/>
      <c r="EV466" s="9"/>
      <c r="EW466" s="9"/>
      <c r="EX466" s="9"/>
      <c r="EY466" s="9"/>
      <c r="EZ466" s="9"/>
      <c r="FA466" s="9"/>
      <c r="FB466" s="9"/>
      <c r="FC466" s="9"/>
      <c r="FD466" s="9"/>
      <c r="FE466" s="9"/>
      <c r="FF466" s="9"/>
      <c r="FG466" s="9"/>
      <c r="FH466" s="9"/>
      <c r="FI466" s="9"/>
      <c r="FJ466" s="9"/>
      <c r="FK466" s="9"/>
      <c r="FL466" s="9"/>
      <c r="FM466" s="9"/>
      <c r="FN466" s="9"/>
      <c r="FO466" s="9"/>
      <c r="FP466" s="9"/>
      <c r="FQ466" s="9"/>
      <c r="FR466" s="9"/>
      <c r="FS466" s="9"/>
      <c r="FT466" s="9"/>
      <c r="FU466" s="9"/>
      <c r="FV466" s="9"/>
      <c r="FW466" s="9"/>
      <c r="FX466" s="9"/>
      <c r="FY466" s="9"/>
      <c r="FZ466" s="9"/>
      <c r="GA466" s="9"/>
      <c r="GB466" s="9"/>
      <c r="GC466" s="9"/>
      <c r="GD466" s="9"/>
      <c r="GE466" s="9"/>
      <c r="GF466" s="9"/>
      <c r="GG466" s="9"/>
      <c r="GH466" s="9"/>
      <c r="GI466" s="9"/>
      <c r="GJ466" s="9"/>
      <c r="GK466" s="9"/>
      <c r="GL466" s="9"/>
      <c r="GM466" s="9"/>
      <c r="GN466" s="9"/>
      <c r="GO466" s="9"/>
      <c r="GP466" s="9"/>
      <c r="GQ466" s="9"/>
      <c r="GR466" s="9"/>
      <c r="GS466" s="9"/>
      <c r="GT466" s="9"/>
      <c r="GU466" s="9"/>
      <c r="GV466" s="9"/>
      <c r="GW466" s="9"/>
      <c r="GX466" s="9"/>
      <c r="GY466" s="9"/>
      <c r="GZ466" s="9"/>
      <c r="HA466" s="9"/>
      <c r="HB466" s="9"/>
      <c r="HC466" s="9"/>
      <c r="HD466" s="9"/>
      <c r="HE466" s="9"/>
      <c r="HF466" s="9"/>
      <c r="HG466" s="9"/>
      <c r="HH466" s="9"/>
      <c r="HI466" s="9"/>
      <c r="HJ466" s="9"/>
      <c r="HK466" s="9"/>
      <c r="HL466" s="9"/>
      <c r="HM466" s="9"/>
      <c r="HN466" s="9"/>
      <c r="HO466" s="9"/>
      <c r="HP466" s="9"/>
      <c r="HQ466" s="9"/>
      <c r="HR466" s="9"/>
      <c r="HS466" s="9"/>
      <c r="HT466" s="9"/>
      <c r="HU466" s="9"/>
      <c r="HV466" s="9"/>
      <c r="HW466" s="9"/>
      <c r="HX466" s="9"/>
      <c r="HY466" s="9"/>
      <c r="HZ466" s="9"/>
      <c r="IA466" s="9"/>
      <c r="IB466" s="9"/>
      <c r="IC466" s="9"/>
      <c r="ID466" s="9"/>
      <c r="IE466" s="9"/>
      <c r="IF466" s="9"/>
      <c r="IG466" s="9"/>
      <c r="IH466" s="9"/>
      <c r="II466" s="9"/>
      <c r="IJ466" s="9"/>
      <c r="IK466" s="9"/>
      <c r="IL466" s="9"/>
      <c r="IM466" s="9"/>
      <c r="IN466" s="9"/>
      <c r="IO466" s="9"/>
      <c r="IP466" s="9"/>
      <c r="IQ466" s="9"/>
      <c r="IR466" s="9"/>
      <c r="IS466" s="9"/>
      <c r="IT466" s="9"/>
      <c r="IU466" s="9"/>
      <c r="IV466" s="9"/>
    </row>
    <row r="467" spans="1:256" outlineLevel="1">
      <c r="A467" s="16"/>
      <c r="B467" s="44"/>
      <c r="C467" s="20"/>
      <c r="D467" s="20"/>
      <c r="E467" s="20"/>
      <c r="F467" s="21"/>
      <c r="G467" s="21"/>
      <c r="H467" s="21"/>
      <c r="I467" s="21"/>
      <c r="J467" s="20"/>
      <c r="K467" s="21"/>
      <c r="L467" s="21"/>
      <c r="M467" s="21"/>
      <c r="N467" s="21"/>
      <c r="O467" s="21"/>
      <c r="P467" s="21"/>
      <c r="Q467" s="21"/>
      <c r="R467" s="20"/>
      <c r="S467" s="22">
        <f t="shared" si="34"/>
        <v>0</v>
      </c>
      <c r="T467" s="22">
        <f>COUNTIF($V$4:V467,V467)</f>
        <v>196</v>
      </c>
      <c r="U467" s="22" t="str">
        <f>IF(T467=1,COUNTIF($T$4:T467,1),"")</f>
        <v/>
      </c>
      <c r="V467" s="23" t="str">
        <f t="shared" si="35"/>
        <v/>
      </c>
      <c r="W467" s="23">
        <f t="shared" si="33"/>
        <v>0</v>
      </c>
      <c r="X467" s="24"/>
      <c r="Y467" s="23"/>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c r="EB467" s="9"/>
      <c r="EC467" s="9"/>
      <c r="ED467" s="9"/>
      <c r="EE467" s="9"/>
      <c r="EF467" s="9"/>
      <c r="EG467" s="9"/>
      <c r="EH467" s="9"/>
      <c r="EI467" s="9"/>
      <c r="EJ467" s="9"/>
      <c r="EK467" s="9"/>
      <c r="EL467" s="9"/>
      <c r="EM467" s="9"/>
      <c r="EN467" s="9"/>
      <c r="EO467" s="9"/>
      <c r="EP467" s="9"/>
      <c r="EQ467" s="9"/>
      <c r="ER467" s="9"/>
      <c r="ES467" s="9"/>
      <c r="ET467" s="9"/>
      <c r="EU467" s="9"/>
      <c r="EV467" s="9"/>
      <c r="EW467" s="9"/>
      <c r="EX467" s="9"/>
      <c r="EY467" s="9"/>
      <c r="EZ467" s="9"/>
      <c r="FA467" s="9"/>
      <c r="FB467" s="9"/>
      <c r="FC467" s="9"/>
      <c r="FD467" s="9"/>
      <c r="FE467" s="9"/>
      <c r="FF467" s="9"/>
      <c r="FG467" s="9"/>
      <c r="FH467" s="9"/>
      <c r="FI467" s="9"/>
      <c r="FJ467" s="9"/>
      <c r="FK467" s="9"/>
      <c r="FL467" s="9"/>
      <c r="FM467" s="9"/>
      <c r="FN467" s="9"/>
      <c r="FO467" s="9"/>
      <c r="FP467" s="9"/>
      <c r="FQ467" s="9"/>
      <c r="FR467" s="9"/>
      <c r="FS467" s="9"/>
      <c r="FT467" s="9"/>
      <c r="FU467" s="9"/>
      <c r="FV467" s="9"/>
      <c r="FW467" s="9"/>
      <c r="FX467" s="9"/>
      <c r="FY467" s="9"/>
      <c r="FZ467" s="9"/>
      <c r="GA467" s="9"/>
      <c r="GB467" s="9"/>
      <c r="GC467" s="9"/>
      <c r="GD467" s="9"/>
      <c r="GE467" s="9"/>
      <c r="GF467" s="9"/>
      <c r="GG467" s="9"/>
      <c r="GH467" s="9"/>
      <c r="GI467" s="9"/>
      <c r="GJ467" s="9"/>
      <c r="GK467" s="9"/>
      <c r="GL467" s="9"/>
      <c r="GM467" s="9"/>
      <c r="GN467" s="9"/>
      <c r="GO467" s="9"/>
      <c r="GP467" s="9"/>
      <c r="GQ467" s="9"/>
      <c r="GR467" s="9"/>
      <c r="GS467" s="9"/>
      <c r="GT467" s="9"/>
      <c r="GU467" s="9"/>
      <c r="GV467" s="9"/>
      <c r="GW467" s="9"/>
      <c r="GX467" s="9"/>
      <c r="GY467" s="9"/>
      <c r="GZ467" s="9"/>
      <c r="HA467" s="9"/>
      <c r="HB467" s="9"/>
      <c r="HC467" s="9"/>
      <c r="HD467" s="9"/>
      <c r="HE467" s="9"/>
      <c r="HF467" s="9"/>
      <c r="HG467" s="9"/>
      <c r="HH467" s="9"/>
      <c r="HI467" s="9"/>
      <c r="HJ467" s="9"/>
      <c r="HK467" s="9"/>
      <c r="HL467" s="9"/>
      <c r="HM467" s="9"/>
      <c r="HN467" s="9"/>
      <c r="HO467" s="9"/>
      <c r="HP467" s="9"/>
      <c r="HQ467" s="9"/>
      <c r="HR467" s="9"/>
      <c r="HS467" s="9"/>
      <c r="HT467" s="9"/>
      <c r="HU467" s="9"/>
      <c r="HV467" s="9"/>
      <c r="HW467" s="9"/>
      <c r="HX467" s="9"/>
      <c r="HY467" s="9"/>
      <c r="HZ467" s="9"/>
      <c r="IA467" s="9"/>
      <c r="IB467" s="9"/>
      <c r="IC467" s="9"/>
      <c r="ID467" s="9"/>
      <c r="IE467" s="9"/>
      <c r="IF467" s="9"/>
      <c r="IG467" s="9"/>
      <c r="IH467" s="9"/>
      <c r="II467" s="9"/>
      <c r="IJ467" s="9"/>
      <c r="IK467" s="9"/>
      <c r="IL467" s="9"/>
      <c r="IM467" s="9"/>
      <c r="IN467" s="9"/>
      <c r="IO467" s="9"/>
      <c r="IP467" s="9"/>
      <c r="IQ467" s="9"/>
      <c r="IR467" s="9"/>
      <c r="IS467" s="9"/>
      <c r="IT467" s="9"/>
      <c r="IU467" s="9"/>
      <c r="IV467" s="9"/>
    </row>
    <row r="468" spans="1:256" outlineLevel="1">
      <c r="A468" s="16"/>
      <c r="B468" s="44"/>
      <c r="C468" s="20"/>
      <c r="D468" s="20"/>
      <c r="E468" s="20"/>
      <c r="F468" s="21"/>
      <c r="G468" s="21"/>
      <c r="H468" s="21"/>
      <c r="I468" s="21"/>
      <c r="J468" s="20"/>
      <c r="K468" s="21"/>
      <c r="L468" s="21"/>
      <c r="M468" s="21"/>
      <c r="N468" s="21"/>
      <c r="O468" s="21"/>
      <c r="P468" s="21"/>
      <c r="Q468" s="21"/>
      <c r="R468" s="20"/>
      <c r="S468" s="22">
        <f t="shared" si="34"/>
        <v>0</v>
      </c>
      <c r="T468" s="22">
        <f>COUNTIF($V$4:V468,V468)</f>
        <v>197</v>
      </c>
      <c r="U468" s="22" t="str">
        <f>IF(T468=1,COUNTIF($T$4:T468,1),"")</f>
        <v/>
      </c>
      <c r="V468" s="23" t="str">
        <f t="shared" si="35"/>
        <v/>
      </c>
      <c r="W468" s="23">
        <f t="shared" si="33"/>
        <v>0</v>
      </c>
      <c r="X468" s="24"/>
      <c r="Y468" s="23"/>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c r="EB468" s="9"/>
      <c r="EC468" s="9"/>
      <c r="ED468" s="9"/>
      <c r="EE468" s="9"/>
      <c r="EF468" s="9"/>
      <c r="EG468" s="9"/>
      <c r="EH468" s="9"/>
      <c r="EI468" s="9"/>
      <c r="EJ468" s="9"/>
      <c r="EK468" s="9"/>
      <c r="EL468" s="9"/>
      <c r="EM468" s="9"/>
      <c r="EN468" s="9"/>
      <c r="EO468" s="9"/>
      <c r="EP468" s="9"/>
      <c r="EQ468" s="9"/>
      <c r="ER468" s="9"/>
      <c r="ES468" s="9"/>
      <c r="ET468" s="9"/>
      <c r="EU468" s="9"/>
      <c r="EV468" s="9"/>
      <c r="EW468" s="9"/>
      <c r="EX468" s="9"/>
      <c r="EY468" s="9"/>
      <c r="EZ468" s="9"/>
      <c r="FA468" s="9"/>
      <c r="FB468" s="9"/>
      <c r="FC468" s="9"/>
      <c r="FD468" s="9"/>
      <c r="FE468" s="9"/>
      <c r="FF468" s="9"/>
      <c r="FG468" s="9"/>
      <c r="FH468" s="9"/>
      <c r="FI468" s="9"/>
      <c r="FJ468" s="9"/>
      <c r="FK468" s="9"/>
      <c r="FL468" s="9"/>
      <c r="FM468" s="9"/>
      <c r="FN468" s="9"/>
      <c r="FO468" s="9"/>
      <c r="FP468" s="9"/>
      <c r="FQ468" s="9"/>
      <c r="FR468" s="9"/>
      <c r="FS468" s="9"/>
      <c r="FT468" s="9"/>
      <c r="FU468" s="9"/>
      <c r="FV468" s="9"/>
      <c r="FW468" s="9"/>
      <c r="FX468" s="9"/>
      <c r="FY468" s="9"/>
      <c r="FZ468" s="9"/>
      <c r="GA468" s="9"/>
      <c r="GB468" s="9"/>
      <c r="GC468" s="9"/>
      <c r="GD468" s="9"/>
      <c r="GE468" s="9"/>
      <c r="GF468" s="9"/>
      <c r="GG468" s="9"/>
      <c r="GH468" s="9"/>
      <c r="GI468" s="9"/>
      <c r="GJ468" s="9"/>
      <c r="GK468" s="9"/>
      <c r="GL468" s="9"/>
      <c r="GM468" s="9"/>
      <c r="GN468" s="9"/>
      <c r="GO468" s="9"/>
      <c r="GP468" s="9"/>
      <c r="GQ468" s="9"/>
      <c r="GR468" s="9"/>
      <c r="GS468" s="9"/>
      <c r="GT468" s="9"/>
      <c r="GU468" s="9"/>
      <c r="GV468" s="9"/>
      <c r="GW468" s="9"/>
      <c r="GX468" s="9"/>
      <c r="GY468" s="9"/>
      <c r="GZ468" s="9"/>
      <c r="HA468" s="9"/>
      <c r="HB468" s="9"/>
      <c r="HC468" s="9"/>
      <c r="HD468" s="9"/>
      <c r="HE468" s="9"/>
      <c r="HF468" s="9"/>
      <c r="HG468" s="9"/>
      <c r="HH468" s="9"/>
      <c r="HI468" s="9"/>
      <c r="HJ468" s="9"/>
      <c r="HK468" s="9"/>
      <c r="HL468" s="9"/>
      <c r="HM468" s="9"/>
      <c r="HN468" s="9"/>
      <c r="HO468" s="9"/>
      <c r="HP468" s="9"/>
      <c r="HQ468" s="9"/>
      <c r="HR468" s="9"/>
      <c r="HS468" s="9"/>
      <c r="HT468" s="9"/>
      <c r="HU468" s="9"/>
      <c r="HV468" s="9"/>
      <c r="HW468" s="9"/>
      <c r="HX468" s="9"/>
      <c r="HY468" s="9"/>
      <c r="HZ468" s="9"/>
      <c r="IA468" s="9"/>
      <c r="IB468" s="9"/>
      <c r="IC468" s="9"/>
      <c r="ID468" s="9"/>
      <c r="IE468" s="9"/>
      <c r="IF468" s="9"/>
      <c r="IG468" s="9"/>
      <c r="IH468" s="9"/>
      <c r="II468" s="9"/>
      <c r="IJ468" s="9"/>
      <c r="IK468" s="9"/>
      <c r="IL468" s="9"/>
      <c r="IM468" s="9"/>
      <c r="IN468" s="9"/>
      <c r="IO468" s="9"/>
      <c r="IP468" s="9"/>
      <c r="IQ468" s="9"/>
      <c r="IR468" s="9"/>
      <c r="IS468" s="9"/>
      <c r="IT468" s="9"/>
      <c r="IU468" s="9"/>
      <c r="IV468" s="9"/>
    </row>
    <row r="469" spans="1:256" outlineLevel="1">
      <c r="A469" s="16"/>
      <c r="B469" s="44"/>
      <c r="C469" s="20"/>
      <c r="D469" s="20"/>
      <c r="E469" s="20"/>
      <c r="F469" s="21"/>
      <c r="G469" s="21"/>
      <c r="H469" s="21"/>
      <c r="I469" s="21"/>
      <c r="J469" s="20"/>
      <c r="K469" s="21"/>
      <c r="L469" s="21"/>
      <c r="M469" s="21"/>
      <c r="N469" s="21"/>
      <c r="O469" s="21"/>
      <c r="P469" s="21"/>
      <c r="Q469" s="21"/>
      <c r="R469" s="20"/>
      <c r="S469" s="22">
        <f t="shared" si="34"/>
        <v>0</v>
      </c>
      <c r="T469" s="22">
        <f>COUNTIF($V$4:V469,V469)</f>
        <v>198</v>
      </c>
      <c r="U469" s="22" t="str">
        <f>IF(T469=1,COUNTIF($T$4:T469,1),"")</f>
        <v/>
      </c>
      <c r="V469" s="23" t="str">
        <f t="shared" si="35"/>
        <v/>
      </c>
      <c r="W469" s="23">
        <f t="shared" si="33"/>
        <v>0</v>
      </c>
      <c r="X469" s="24"/>
      <c r="Y469" s="23"/>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9"/>
      <c r="ED469" s="9"/>
      <c r="EE469" s="9"/>
      <c r="EF469" s="9"/>
      <c r="EG469" s="9"/>
      <c r="EH469" s="9"/>
      <c r="EI469" s="9"/>
      <c r="EJ469" s="9"/>
      <c r="EK469" s="9"/>
      <c r="EL469" s="9"/>
      <c r="EM469" s="9"/>
      <c r="EN469" s="9"/>
      <c r="EO469" s="9"/>
      <c r="EP469" s="9"/>
      <c r="EQ469" s="9"/>
      <c r="ER469" s="9"/>
      <c r="ES469" s="9"/>
      <c r="ET469" s="9"/>
      <c r="EU469" s="9"/>
      <c r="EV469" s="9"/>
      <c r="EW469" s="9"/>
      <c r="EX469" s="9"/>
      <c r="EY469" s="9"/>
      <c r="EZ469" s="9"/>
      <c r="FA469" s="9"/>
      <c r="FB469" s="9"/>
      <c r="FC469" s="9"/>
      <c r="FD469" s="9"/>
      <c r="FE469" s="9"/>
      <c r="FF469" s="9"/>
      <c r="FG469" s="9"/>
      <c r="FH469" s="9"/>
      <c r="FI469" s="9"/>
      <c r="FJ469" s="9"/>
      <c r="FK469" s="9"/>
      <c r="FL469" s="9"/>
      <c r="FM469" s="9"/>
      <c r="FN469" s="9"/>
      <c r="FO469" s="9"/>
      <c r="FP469" s="9"/>
      <c r="FQ469" s="9"/>
      <c r="FR469" s="9"/>
      <c r="FS469" s="9"/>
      <c r="FT469" s="9"/>
      <c r="FU469" s="9"/>
      <c r="FV469" s="9"/>
      <c r="FW469" s="9"/>
      <c r="FX469" s="9"/>
      <c r="FY469" s="9"/>
      <c r="FZ469" s="9"/>
      <c r="GA469" s="9"/>
      <c r="GB469" s="9"/>
      <c r="GC469" s="9"/>
      <c r="GD469" s="9"/>
      <c r="GE469" s="9"/>
      <c r="GF469" s="9"/>
      <c r="GG469" s="9"/>
      <c r="GH469" s="9"/>
      <c r="GI469" s="9"/>
      <c r="GJ469" s="9"/>
      <c r="GK469" s="9"/>
      <c r="GL469" s="9"/>
      <c r="GM469" s="9"/>
      <c r="GN469" s="9"/>
      <c r="GO469" s="9"/>
      <c r="GP469" s="9"/>
      <c r="GQ469" s="9"/>
      <c r="GR469" s="9"/>
      <c r="GS469" s="9"/>
      <c r="GT469" s="9"/>
      <c r="GU469" s="9"/>
      <c r="GV469" s="9"/>
      <c r="GW469" s="9"/>
      <c r="GX469" s="9"/>
      <c r="GY469" s="9"/>
      <c r="GZ469" s="9"/>
      <c r="HA469" s="9"/>
      <c r="HB469" s="9"/>
      <c r="HC469" s="9"/>
      <c r="HD469" s="9"/>
      <c r="HE469" s="9"/>
      <c r="HF469" s="9"/>
      <c r="HG469" s="9"/>
      <c r="HH469" s="9"/>
      <c r="HI469" s="9"/>
      <c r="HJ469" s="9"/>
      <c r="HK469" s="9"/>
      <c r="HL469" s="9"/>
      <c r="HM469" s="9"/>
      <c r="HN469" s="9"/>
      <c r="HO469" s="9"/>
      <c r="HP469" s="9"/>
      <c r="HQ469" s="9"/>
      <c r="HR469" s="9"/>
      <c r="HS469" s="9"/>
      <c r="HT469" s="9"/>
      <c r="HU469" s="9"/>
      <c r="HV469" s="9"/>
      <c r="HW469" s="9"/>
      <c r="HX469" s="9"/>
      <c r="HY469" s="9"/>
      <c r="HZ469" s="9"/>
      <c r="IA469" s="9"/>
      <c r="IB469" s="9"/>
      <c r="IC469" s="9"/>
      <c r="ID469" s="9"/>
      <c r="IE469" s="9"/>
      <c r="IF469" s="9"/>
      <c r="IG469" s="9"/>
      <c r="IH469" s="9"/>
      <c r="II469" s="9"/>
      <c r="IJ469" s="9"/>
      <c r="IK469" s="9"/>
      <c r="IL469" s="9"/>
      <c r="IM469" s="9"/>
      <c r="IN469" s="9"/>
      <c r="IO469" s="9"/>
      <c r="IP469" s="9"/>
      <c r="IQ469" s="9"/>
      <c r="IR469" s="9"/>
      <c r="IS469" s="9"/>
      <c r="IT469" s="9"/>
      <c r="IU469" s="9"/>
      <c r="IV469" s="9"/>
    </row>
    <row r="470" spans="1:256" outlineLevel="1">
      <c r="A470" s="16"/>
      <c r="B470" s="44"/>
      <c r="C470" s="20"/>
      <c r="D470" s="20"/>
      <c r="E470" s="20"/>
      <c r="F470" s="21"/>
      <c r="G470" s="21"/>
      <c r="H470" s="21"/>
      <c r="I470" s="21"/>
      <c r="J470" s="20"/>
      <c r="K470" s="21"/>
      <c r="L470" s="21"/>
      <c r="M470" s="21"/>
      <c r="N470" s="21"/>
      <c r="O470" s="21"/>
      <c r="P470" s="21"/>
      <c r="Q470" s="21"/>
      <c r="R470" s="20"/>
      <c r="S470" s="22">
        <f t="shared" si="34"/>
        <v>0</v>
      </c>
      <c r="T470" s="22">
        <f>COUNTIF($V$4:V470,V470)</f>
        <v>199</v>
      </c>
      <c r="U470" s="22" t="str">
        <f>IF(T470=1,COUNTIF($T$4:T470,1),"")</f>
        <v/>
      </c>
      <c r="V470" s="23" t="str">
        <f t="shared" si="35"/>
        <v/>
      </c>
      <c r="W470" s="23">
        <f t="shared" si="33"/>
        <v>0</v>
      </c>
      <c r="X470" s="24"/>
      <c r="Y470" s="23"/>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c r="EV470" s="9"/>
      <c r="EW470" s="9"/>
      <c r="EX470" s="9"/>
      <c r="EY470" s="9"/>
      <c r="EZ470" s="9"/>
      <c r="FA470" s="9"/>
      <c r="FB470" s="9"/>
      <c r="FC470" s="9"/>
      <c r="FD470" s="9"/>
      <c r="FE470" s="9"/>
      <c r="FF470" s="9"/>
      <c r="FG470" s="9"/>
      <c r="FH470" s="9"/>
      <c r="FI470" s="9"/>
      <c r="FJ470" s="9"/>
      <c r="FK470" s="9"/>
      <c r="FL470" s="9"/>
      <c r="FM470" s="9"/>
      <c r="FN470" s="9"/>
      <c r="FO470" s="9"/>
      <c r="FP470" s="9"/>
      <c r="FQ470" s="9"/>
      <c r="FR470" s="9"/>
      <c r="FS470" s="9"/>
      <c r="FT470" s="9"/>
      <c r="FU470" s="9"/>
      <c r="FV470" s="9"/>
      <c r="FW470" s="9"/>
      <c r="FX470" s="9"/>
      <c r="FY470" s="9"/>
      <c r="FZ470" s="9"/>
      <c r="GA470" s="9"/>
      <c r="GB470" s="9"/>
      <c r="GC470" s="9"/>
      <c r="GD470" s="9"/>
      <c r="GE470" s="9"/>
      <c r="GF470" s="9"/>
      <c r="GG470" s="9"/>
      <c r="GH470" s="9"/>
      <c r="GI470" s="9"/>
      <c r="GJ470" s="9"/>
      <c r="GK470" s="9"/>
      <c r="GL470" s="9"/>
      <c r="GM470" s="9"/>
      <c r="GN470" s="9"/>
      <c r="GO470" s="9"/>
      <c r="GP470" s="9"/>
      <c r="GQ470" s="9"/>
      <c r="GR470" s="9"/>
      <c r="GS470" s="9"/>
      <c r="GT470" s="9"/>
      <c r="GU470" s="9"/>
      <c r="GV470" s="9"/>
      <c r="GW470" s="9"/>
      <c r="GX470" s="9"/>
      <c r="GY470" s="9"/>
      <c r="GZ470" s="9"/>
      <c r="HA470" s="9"/>
      <c r="HB470" s="9"/>
      <c r="HC470" s="9"/>
      <c r="HD470" s="9"/>
      <c r="HE470" s="9"/>
      <c r="HF470" s="9"/>
      <c r="HG470" s="9"/>
      <c r="HH470" s="9"/>
      <c r="HI470" s="9"/>
      <c r="HJ470" s="9"/>
      <c r="HK470" s="9"/>
      <c r="HL470" s="9"/>
      <c r="HM470" s="9"/>
      <c r="HN470" s="9"/>
      <c r="HO470" s="9"/>
      <c r="HP470" s="9"/>
      <c r="HQ470" s="9"/>
      <c r="HR470" s="9"/>
      <c r="HS470" s="9"/>
      <c r="HT470" s="9"/>
      <c r="HU470" s="9"/>
      <c r="HV470" s="9"/>
      <c r="HW470" s="9"/>
      <c r="HX470" s="9"/>
      <c r="HY470" s="9"/>
      <c r="HZ470" s="9"/>
      <c r="IA470" s="9"/>
      <c r="IB470" s="9"/>
      <c r="IC470" s="9"/>
      <c r="ID470" s="9"/>
      <c r="IE470" s="9"/>
      <c r="IF470" s="9"/>
      <c r="IG470" s="9"/>
      <c r="IH470" s="9"/>
      <c r="II470" s="9"/>
      <c r="IJ470" s="9"/>
      <c r="IK470" s="9"/>
      <c r="IL470" s="9"/>
      <c r="IM470" s="9"/>
      <c r="IN470" s="9"/>
      <c r="IO470" s="9"/>
      <c r="IP470" s="9"/>
      <c r="IQ470" s="9"/>
      <c r="IR470" s="9"/>
      <c r="IS470" s="9"/>
      <c r="IT470" s="9"/>
      <c r="IU470" s="9"/>
      <c r="IV470" s="9"/>
    </row>
    <row r="471" spans="1:256" outlineLevel="1">
      <c r="A471" s="16"/>
      <c r="B471" s="44"/>
      <c r="C471" s="20"/>
      <c r="D471" s="20"/>
      <c r="E471" s="20"/>
      <c r="F471" s="21"/>
      <c r="G471" s="21"/>
      <c r="H471" s="21"/>
      <c r="I471" s="21"/>
      <c r="J471" s="20"/>
      <c r="K471" s="21"/>
      <c r="L471" s="21"/>
      <c r="M471" s="21"/>
      <c r="N471" s="21"/>
      <c r="O471" s="21"/>
      <c r="P471" s="21"/>
      <c r="Q471" s="21"/>
      <c r="R471" s="20"/>
      <c r="S471" s="22">
        <f t="shared" si="34"/>
        <v>0</v>
      </c>
      <c r="T471" s="22">
        <f>COUNTIF($V$4:V471,V471)</f>
        <v>200</v>
      </c>
      <c r="U471" s="22" t="str">
        <f>IF(T471=1,COUNTIF($T$4:T471,1),"")</f>
        <v/>
      </c>
      <c r="V471" s="23" t="str">
        <f t="shared" si="35"/>
        <v/>
      </c>
      <c r="W471" s="23">
        <f t="shared" si="33"/>
        <v>0</v>
      </c>
      <c r="X471" s="24"/>
      <c r="Y471" s="23"/>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c r="EV471" s="9"/>
      <c r="EW471" s="9"/>
      <c r="EX471" s="9"/>
      <c r="EY471" s="9"/>
      <c r="EZ471" s="9"/>
      <c r="FA471" s="9"/>
      <c r="FB471" s="9"/>
      <c r="FC471" s="9"/>
      <c r="FD471" s="9"/>
      <c r="FE471" s="9"/>
      <c r="FF471" s="9"/>
      <c r="FG471" s="9"/>
      <c r="FH471" s="9"/>
      <c r="FI471" s="9"/>
      <c r="FJ471" s="9"/>
      <c r="FK471" s="9"/>
      <c r="FL471" s="9"/>
      <c r="FM471" s="9"/>
      <c r="FN471" s="9"/>
      <c r="FO471" s="9"/>
      <c r="FP471" s="9"/>
      <c r="FQ471" s="9"/>
      <c r="FR471" s="9"/>
      <c r="FS471" s="9"/>
      <c r="FT471" s="9"/>
      <c r="FU471" s="9"/>
      <c r="FV471" s="9"/>
      <c r="FW471" s="9"/>
      <c r="FX471" s="9"/>
      <c r="FY471" s="9"/>
      <c r="FZ471" s="9"/>
      <c r="GA471" s="9"/>
      <c r="GB471" s="9"/>
      <c r="GC471" s="9"/>
      <c r="GD471" s="9"/>
      <c r="GE471" s="9"/>
      <c r="GF471" s="9"/>
      <c r="GG471" s="9"/>
      <c r="GH471" s="9"/>
      <c r="GI471" s="9"/>
      <c r="GJ471" s="9"/>
      <c r="GK471" s="9"/>
      <c r="GL471" s="9"/>
      <c r="GM471" s="9"/>
      <c r="GN471" s="9"/>
      <c r="GO471" s="9"/>
      <c r="GP471" s="9"/>
      <c r="GQ471" s="9"/>
      <c r="GR471" s="9"/>
      <c r="GS471" s="9"/>
      <c r="GT471" s="9"/>
      <c r="GU471" s="9"/>
      <c r="GV471" s="9"/>
      <c r="GW471" s="9"/>
      <c r="GX471" s="9"/>
      <c r="GY471" s="9"/>
      <c r="GZ471" s="9"/>
      <c r="HA471" s="9"/>
      <c r="HB471" s="9"/>
      <c r="HC471" s="9"/>
      <c r="HD471" s="9"/>
      <c r="HE471" s="9"/>
      <c r="HF471" s="9"/>
      <c r="HG471" s="9"/>
      <c r="HH471" s="9"/>
      <c r="HI471" s="9"/>
      <c r="HJ471" s="9"/>
      <c r="HK471" s="9"/>
      <c r="HL471" s="9"/>
      <c r="HM471" s="9"/>
      <c r="HN471" s="9"/>
      <c r="HO471" s="9"/>
      <c r="HP471" s="9"/>
      <c r="HQ471" s="9"/>
      <c r="HR471" s="9"/>
      <c r="HS471" s="9"/>
      <c r="HT471" s="9"/>
      <c r="HU471" s="9"/>
      <c r="HV471" s="9"/>
      <c r="HW471" s="9"/>
      <c r="HX471" s="9"/>
      <c r="HY471" s="9"/>
      <c r="HZ471" s="9"/>
      <c r="IA471" s="9"/>
      <c r="IB471" s="9"/>
      <c r="IC471" s="9"/>
      <c r="ID471" s="9"/>
      <c r="IE471" s="9"/>
      <c r="IF471" s="9"/>
      <c r="IG471" s="9"/>
      <c r="IH471" s="9"/>
      <c r="II471" s="9"/>
      <c r="IJ471" s="9"/>
      <c r="IK471" s="9"/>
      <c r="IL471" s="9"/>
      <c r="IM471" s="9"/>
      <c r="IN471" s="9"/>
      <c r="IO471" s="9"/>
      <c r="IP471" s="9"/>
      <c r="IQ471" s="9"/>
      <c r="IR471" s="9"/>
      <c r="IS471" s="9"/>
      <c r="IT471" s="9"/>
      <c r="IU471" s="9"/>
      <c r="IV471" s="9"/>
    </row>
    <row r="472" spans="1:256" outlineLevel="1">
      <c r="A472" s="16"/>
      <c r="B472" s="44"/>
      <c r="C472" s="20"/>
      <c r="D472" s="20"/>
      <c r="E472" s="20"/>
      <c r="F472" s="21"/>
      <c r="G472" s="21"/>
      <c r="H472" s="21"/>
      <c r="I472" s="21"/>
      <c r="J472" s="20"/>
      <c r="K472" s="21"/>
      <c r="L472" s="21"/>
      <c r="M472" s="21"/>
      <c r="N472" s="21"/>
      <c r="O472" s="21"/>
      <c r="P472" s="21"/>
      <c r="Q472" s="21"/>
      <c r="R472" s="20"/>
      <c r="S472" s="22">
        <f t="shared" si="34"/>
        <v>0</v>
      </c>
      <c r="T472" s="22">
        <f>COUNTIF($V$4:V472,V472)</f>
        <v>201</v>
      </c>
      <c r="U472" s="22" t="str">
        <f>IF(T472=1,COUNTIF($T$4:T472,1),"")</f>
        <v/>
      </c>
      <c r="V472" s="23" t="str">
        <f t="shared" si="35"/>
        <v/>
      </c>
      <c r="W472" s="23">
        <f t="shared" si="33"/>
        <v>0</v>
      </c>
      <c r="X472" s="24"/>
      <c r="Y472" s="23"/>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c r="EV472" s="9"/>
      <c r="EW472" s="9"/>
      <c r="EX472" s="9"/>
      <c r="EY472" s="9"/>
      <c r="EZ472" s="9"/>
      <c r="FA472" s="9"/>
      <c r="FB472" s="9"/>
      <c r="FC472" s="9"/>
      <c r="FD472" s="9"/>
      <c r="FE472" s="9"/>
      <c r="FF472" s="9"/>
      <c r="FG472" s="9"/>
      <c r="FH472" s="9"/>
      <c r="FI472" s="9"/>
      <c r="FJ472" s="9"/>
      <c r="FK472" s="9"/>
      <c r="FL472" s="9"/>
      <c r="FM472" s="9"/>
      <c r="FN472" s="9"/>
      <c r="FO472" s="9"/>
      <c r="FP472" s="9"/>
      <c r="FQ472" s="9"/>
      <c r="FR472" s="9"/>
      <c r="FS472" s="9"/>
      <c r="FT472" s="9"/>
      <c r="FU472" s="9"/>
      <c r="FV472" s="9"/>
      <c r="FW472" s="9"/>
      <c r="FX472" s="9"/>
      <c r="FY472" s="9"/>
      <c r="FZ472" s="9"/>
      <c r="GA472" s="9"/>
      <c r="GB472" s="9"/>
      <c r="GC472" s="9"/>
      <c r="GD472" s="9"/>
      <c r="GE472" s="9"/>
      <c r="GF472" s="9"/>
      <c r="GG472" s="9"/>
      <c r="GH472" s="9"/>
      <c r="GI472" s="9"/>
      <c r="GJ472" s="9"/>
      <c r="GK472" s="9"/>
      <c r="GL472" s="9"/>
      <c r="GM472" s="9"/>
      <c r="GN472" s="9"/>
      <c r="GO472" s="9"/>
      <c r="GP472" s="9"/>
      <c r="GQ472" s="9"/>
      <c r="GR472" s="9"/>
      <c r="GS472" s="9"/>
      <c r="GT472" s="9"/>
      <c r="GU472" s="9"/>
      <c r="GV472" s="9"/>
      <c r="GW472" s="9"/>
      <c r="GX472" s="9"/>
      <c r="GY472" s="9"/>
      <c r="GZ472" s="9"/>
      <c r="HA472" s="9"/>
      <c r="HB472" s="9"/>
      <c r="HC472" s="9"/>
      <c r="HD472" s="9"/>
      <c r="HE472" s="9"/>
      <c r="HF472" s="9"/>
      <c r="HG472" s="9"/>
      <c r="HH472" s="9"/>
      <c r="HI472" s="9"/>
      <c r="HJ472" s="9"/>
      <c r="HK472" s="9"/>
      <c r="HL472" s="9"/>
      <c r="HM472" s="9"/>
      <c r="HN472" s="9"/>
      <c r="HO472" s="9"/>
      <c r="HP472" s="9"/>
      <c r="HQ472" s="9"/>
      <c r="HR472" s="9"/>
      <c r="HS472" s="9"/>
      <c r="HT472" s="9"/>
      <c r="HU472" s="9"/>
      <c r="HV472" s="9"/>
      <c r="HW472" s="9"/>
      <c r="HX472" s="9"/>
      <c r="HY472" s="9"/>
      <c r="HZ472" s="9"/>
      <c r="IA472" s="9"/>
      <c r="IB472" s="9"/>
      <c r="IC472" s="9"/>
      <c r="ID472" s="9"/>
      <c r="IE472" s="9"/>
      <c r="IF472" s="9"/>
      <c r="IG472" s="9"/>
      <c r="IH472" s="9"/>
      <c r="II472" s="9"/>
      <c r="IJ472" s="9"/>
      <c r="IK472" s="9"/>
      <c r="IL472" s="9"/>
      <c r="IM472" s="9"/>
      <c r="IN472" s="9"/>
      <c r="IO472" s="9"/>
      <c r="IP472" s="9"/>
      <c r="IQ472" s="9"/>
      <c r="IR472" s="9"/>
      <c r="IS472" s="9"/>
      <c r="IT472" s="9"/>
      <c r="IU472" s="9"/>
      <c r="IV472" s="9"/>
    </row>
    <row r="473" spans="1:256" outlineLevel="1">
      <c r="A473" s="16"/>
      <c r="B473" s="44"/>
      <c r="C473" s="20"/>
      <c r="D473" s="20"/>
      <c r="E473" s="20"/>
      <c r="F473" s="21"/>
      <c r="G473" s="21"/>
      <c r="H473" s="21"/>
      <c r="I473" s="21"/>
      <c r="J473" s="21"/>
      <c r="K473" s="21"/>
      <c r="L473" s="21"/>
      <c r="M473" s="21"/>
      <c r="N473" s="21"/>
      <c r="O473" s="21"/>
      <c r="P473" s="21"/>
      <c r="Q473" s="21"/>
      <c r="R473" s="20"/>
      <c r="S473" s="22">
        <f t="shared" si="34"/>
        <v>0</v>
      </c>
      <c r="T473" s="22">
        <f>COUNTIF($V$4:V473,V473)</f>
        <v>202</v>
      </c>
      <c r="U473" s="22" t="str">
        <f>IF(T473=1,COUNTIF($T$4:T473,1),"")</f>
        <v/>
      </c>
      <c r="V473" s="23" t="str">
        <f t="shared" si="35"/>
        <v/>
      </c>
      <c r="W473" s="23">
        <f t="shared" si="33"/>
        <v>0</v>
      </c>
      <c r="X473" s="24"/>
      <c r="Y473" s="23"/>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c r="EV473" s="9"/>
      <c r="EW473" s="9"/>
      <c r="EX473" s="9"/>
      <c r="EY473" s="9"/>
      <c r="EZ473" s="9"/>
      <c r="FA473" s="9"/>
      <c r="FB473" s="9"/>
      <c r="FC473" s="9"/>
      <c r="FD473" s="9"/>
      <c r="FE473" s="9"/>
      <c r="FF473" s="9"/>
      <c r="FG473" s="9"/>
      <c r="FH473" s="9"/>
      <c r="FI473" s="9"/>
      <c r="FJ473" s="9"/>
      <c r="FK473" s="9"/>
      <c r="FL473" s="9"/>
      <c r="FM473" s="9"/>
      <c r="FN473" s="9"/>
      <c r="FO473" s="9"/>
      <c r="FP473" s="9"/>
      <c r="FQ473" s="9"/>
      <c r="FR473" s="9"/>
      <c r="FS473" s="9"/>
      <c r="FT473" s="9"/>
      <c r="FU473" s="9"/>
      <c r="FV473" s="9"/>
      <c r="FW473" s="9"/>
      <c r="FX473" s="9"/>
      <c r="FY473" s="9"/>
      <c r="FZ473" s="9"/>
      <c r="GA473" s="9"/>
      <c r="GB473" s="9"/>
      <c r="GC473" s="9"/>
      <c r="GD473" s="9"/>
      <c r="GE473" s="9"/>
      <c r="GF473" s="9"/>
      <c r="GG473" s="9"/>
      <c r="GH473" s="9"/>
      <c r="GI473" s="9"/>
      <c r="GJ473" s="9"/>
      <c r="GK473" s="9"/>
      <c r="GL473" s="9"/>
      <c r="GM473" s="9"/>
      <c r="GN473" s="9"/>
      <c r="GO473" s="9"/>
      <c r="GP473" s="9"/>
      <c r="GQ473" s="9"/>
      <c r="GR473" s="9"/>
      <c r="GS473" s="9"/>
      <c r="GT473" s="9"/>
      <c r="GU473" s="9"/>
      <c r="GV473" s="9"/>
      <c r="GW473" s="9"/>
      <c r="GX473" s="9"/>
      <c r="GY473" s="9"/>
      <c r="GZ473" s="9"/>
      <c r="HA473" s="9"/>
      <c r="HB473" s="9"/>
      <c r="HC473" s="9"/>
      <c r="HD473" s="9"/>
      <c r="HE473" s="9"/>
      <c r="HF473" s="9"/>
      <c r="HG473" s="9"/>
      <c r="HH473" s="9"/>
      <c r="HI473" s="9"/>
      <c r="HJ473" s="9"/>
      <c r="HK473" s="9"/>
      <c r="HL473" s="9"/>
      <c r="HM473" s="9"/>
      <c r="HN473" s="9"/>
      <c r="HO473" s="9"/>
      <c r="HP473" s="9"/>
      <c r="HQ473" s="9"/>
      <c r="HR473" s="9"/>
      <c r="HS473" s="9"/>
      <c r="HT473" s="9"/>
      <c r="HU473" s="9"/>
      <c r="HV473" s="9"/>
      <c r="HW473" s="9"/>
      <c r="HX473" s="9"/>
      <c r="HY473" s="9"/>
      <c r="HZ473" s="9"/>
      <c r="IA473" s="9"/>
      <c r="IB473" s="9"/>
      <c r="IC473" s="9"/>
      <c r="ID473" s="9"/>
      <c r="IE473" s="9"/>
      <c r="IF473" s="9"/>
      <c r="IG473" s="9"/>
      <c r="IH473" s="9"/>
      <c r="II473" s="9"/>
      <c r="IJ473" s="9"/>
      <c r="IK473" s="9"/>
      <c r="IL473" s="9"/>
      <c r="IM473" s="9"/>
      <c r="IN473" s="9"/>
      <c r="IO473" s="9"/>
      <c r="IP473" s="9"/>
      <c r="IQ473" s="9"/>
      <c r="IR473" s="9"/>
      <c r="IS473" s="9"/>
      <c r="IT473" s="9"/>
      <c r="IU473" s="9"/>
      <c r="IV473" s="9"/>
    </row>
    <row r="474" spans="1:256" outlineLevel="1">
      <c r="A474" s="16"/>
      <c r="B474" s="44"/>
      <c r="C474" s="20"/>
      <c r="D474" s="20"/>
      <c r="E474" s="20"/>
      <c r="F474" s="21"/>
      <c r="G474" s="21"/>
      <c r="H474" s="21"/>
      <c r="I474" s="21"/>
      <c r="J474" s="21"/>
      <c r="K474" s="21"/>
      <c r="L474" s="21"/>
      <c r="M474" s="21"/>
      <c r="N474" s="21"/>
      <c r="O474" s="21"/>
      <c r="P474" s="21"/>
      <c r="Q474" s="21"/>
      <c r="R474" s="20"/>
      <c r="S474" s="22">
        <f t="shared" si="34"/>
        <v>0</v>
      </c>
      <c r="T474" s="22">
        <f>COUNTIF($V$4:V474,V474)</f>
        <v>203</v>
      </c>
      <c r="U474" s="22" t="str">
        <f>IF(T474=1,COUNTIF($T$4:T474,1),"")</f>
        <v/>
      </c>
      <c r="V474" s="23" t="str">
        <f t="shared" si="35"/>
        <v/>
      </c>
      <c r="W474" s="23">
        <f t="shared" si="33"/>
        <v>0</v>
      </c>
      <c r="X474" s="24"/>
      <c r="Y474" s="23"/>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c r="EV474" s="9"/>
      <c r="EW474" s="9"/>
      <c r="EX474" s="9"/>
      <c r="EY474" s="9"/>
      <c r="EZ474" s="9"/>
      <c r="FA474" s="9"/>
      <c r="FB474" s="9"/>
      <c r="FC474" s="9"/>
      <c r="FD474" s="9"/>
      <c r="FE474" s="9"/>
      <c r="FF474" s="9"/>
      <c r="FG474" s="9"/>
      <c r="FH474" s="9"/>
      <c r="FI474" s="9"/>
      <c r="FJ474" s="9"/>
      <c r="FK474" s="9"/>
      <c r="FL474" s="9"/>
      <c r="FM474" s="9"/>
      <c r="FN474" s="9"/>
      <c r="FO474" s="9"/>
      <c r="FP474" s="9"/>
      <c r="FQ474" s="9"/>
      <c r="FR474" s="9"/>
      <c r="FS474" s="9"/>
      <c r="FT474" s="9"/>
      <c r="FU474" s="9"/>
      <c r="FV474" s="9"/>
      <c r="FW474" s="9"/>
      <c r="FX474" s="9"/>
      <c r="FY474" s="9"/>
      <c r="FZ474" s="9"/>
      <c r="GA474" s="9"/>
      <c r="GB474" s="9"/>
      <c r="GC474" s="9"/>
      <c r="GD474" s="9"/>
      <c r="GE474" s="9"/>
      <c r="GF474" s="9"/>
      <c r="GG474" s="9"/>
      <c r="GH474" s="9"/>
      <c r="GI474" s="9"/>
      <c r="GJ474" s="9"/>
      <c r="GK474" s="9"/>
      <c r="GL474" s="9"/>
      <c r="GM474" s="9"/>
      <c r="GN474" s="9"/>
      <c r="GO474" s="9"/>
      <c r="GP474" s="9"/>
      <c r="GQ474" s="9"/>
      <c r="GR474" s="9"/>
      <c r="GS474" s="9"/>
      <c r="GT474" s="9"/>
      <c r="GU474" s="9"/>
      <c r="GV474" s="9"/>
      <c r="GW474" s="9"/>
      <c r="GX474" s="9"/>
      <c r="GY474" s="9"/>
      <c r="GZ474" s="9"/>
      <c r="HA474" s="9"/>
      <c r="HB474" s="9"/>
      <c r="HC474" s="9"/>
      <c r="HD474" s="9"/>
      <c r="HE474" s="9"/>
      <c r="HF474" s="9"/>
      <c r="HG474" s="9"/>
      <c r="HH474" s="9"/>
      <c r="HI474" s="9"/>
      <c r="HJ474" s="9"/>
      <c r="HK474" s="9"/>
      <c r="HL474" s="9"/>
      <c r="HM474" s="9"/>
      <c r="HN474" s="9"/>
      <c r="HO474" s="9"/>
      <c r="HP474" s="9"/>
      <c r="HQ474" s="9"/>
      <c r="HR474" s="9"/>
      <c r="HS474" s="9"/>
      <c r="HT474" s="9"/>
      <c r="HU474" s="9"/>
      <c r="HV474" s="9"/>
      <c r="HW474" s="9"/>
      <c r="HX474" s="9"/>
      <c r="HY474" s="9"/>
      <c r="HZ474" s="9"/>
      <c r="IA474" s="9"/>
      <c r="IB474" s="9"/>
      <c r="IC474" s="9"/>
      <c r="ID474" s="9"/>
      <c r="IE474" s="9"/>
      <c r="IF474" s="9"/>
      <c r="IG474" s="9"/>
      <c r="IH474" s="9"/>
      <c r="II474" s="9"/>
      <c r="IJ474" s="9"/>
      <c r="IK474" s="9"/>
      <c r="IL474" s="9"/>
      <c r="IM474" s="9"/>
      <c r="IN474" s="9"/>
      <c r="IO474" s="9"/>
      <c r="IP474" s="9"/>
      <c r="IQ474" s="9"/>
      <c r="IR474" s="9"/>
      <c r="IS474" s="9"/>
      <c r="IT474" s="9"/>
      <c r="IU474" s="9"/>
      <c r="IV474" s="9"/>
    </row>
    <row r="475" spans="1:256" outlineLevel="1">
      <c r="A475" s="16"/>
      <c r="B475" s="44"/>
      <c r="C475" s="20"/>
      <c r="D475" s="20"/>
      <c r="E475" s="20"/>
      <c r="F475" s="21"/>
      <c r="G475" s="21"/>
      <c r="H475" s="21"/>
      <c r="I475" s="21"/>
      <c r="J475" s="20"/>
      <c r="K475" s="21"/>
      <c r="L475" s="21"/>
      <c r="M475" s="21"/>
      <c r="N475" s="21"/>
      <c r="O475" s="21"/>
      <c r="P475" s="21"/>
      <c r="Q475" s="21"/>
      <c r="R475" s="20"/>
      <c r="S475" s="22">
        <f t="shared" si="34"/>
        <v>0</v>
      </c>
      <c r="T475" s="22">
        <f>COUNTIF($V$4:V475,V475)</f>
        <v>204</v>
      </c>
      <c r="U475" s="22" t="str">
        <f>IF(T475=1,COUNTIF($T$4:T475,1),"")</f>
        <v/>
      </c>
      <c r="V475" s="23" t="str">
        <f t="shared" si="35"/>
        <v/>
      </c>
      <c r="W475" s="23">
        <f t="shared" si="33"/>
        <v>0</v>
      </c>
      <c r="X475" s="24"/>
      <c r="Y475" s="23"/>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c r="EV475" s="9"/>
      <c r="EW475" s="9"/>
      <c r="EX475" s="9"/>
      <c r="EY475" s="9"/>
      <c r="EZ475" s="9"/>
      <c r="FA475" s="9"/>
      <c r="FB475" s="9"/>
      <c r="FC475" s="9"/>
      <c r="FD475" s="9"/>
      <c r="FE475" s="9"/>
      <c r="FF475" s="9"/>
      <c r="FG475" s="9"/>
      <c r="FH475" s="9"/>
      <c r="FI475" s="9"/>
      <c r="FJ475" s="9"/>
      <c r="FK475" s="9"/>
      <c r="FL475" s="9"/>
      <c r="FM475" s="9"/>
      <c r="FN475" s="9"/>
      <c r="FO475" s="9"/>
      <c r="FP475" s="9"/>
      <c r="FQ475" s="9"/>
      <c r="FR475" s="9"/>
      <c r="FS475" s="9"/>
      <c r="FT475" s="9"/>
      <c r="FU475" s="9"/>
      <c r="FV475" s="9"/>
      <c r="FW475" s="9"/>
      <c r="FX475" s="9"/>
      <c r="FY475" s="9"/>
      <c r="FZ475" s="9"/>
      <c r="GA475" s="9"/>
      <c r="GB475" s="9"/>
      <c r="GC475" s="9"/>
      <c r="GD475" s="9"/>
      <c r="GE475" s="9"/>
      <c r="GF475" s="9"/>
      <c r="GG475" s="9"/>
      <c r="GH475" s="9"/>
      <c r="GI475" s="9"/>
      <c r="GJ475" s="9"/>
      <c r="GK475" s="9"/>
      <c r="GL475" s="9"/>
      <c r="GM475" s="9"/>
      <c r="GN475" s="9"/>
      <c r="GO475" s="9"/>
      <c r="GP475" s="9"/>
      <c r="GQ475" s="9"/>
      <c r="GR475" s="9"/>
      <c r="GS475" s="9"/>
      <c r="GT475" s="9"/>
      <c r="GU475" s="9"/>
      <c r="GV475" s="9"/>
      <c r="GW475" s="9"/>
      <c r="GX475" s="9"/>
      <c r="GY475" s="9"/>
      <c r="GZ475" s="9"/>
      <c r="HA475" s="9"/>
      <c r="HB475" s="9"/>
      <c r="HC475" s="9"/>
      <c r="HD475" s="9"/>
      <c r="HE475" s="9"/>
      <c r="HF475" s="9"/>
      <c r="HG475" s="9"/>
      <c r="HH475" s="9"/>
      <c r="HI475" s="9"/>
      <c r="HJ475" s="9"/>
      <c r="HK475" s="9"/>
      <c r="HL475" s="9"/>
      <c r="HM475" s="9"/>
      <c r="HN475" s="9"/>
      <c r="HO475" s="9"/>
      <c r="HP475" s="9"/>
      <c r="HQ475" s="9"/>
      <c r="HR475" s="9"/>
      <c r="HS475" s="9"/>
      <c r="HT475" s="9"/>
      <c r="HU475" s="9"/>
      <c r="HV475" s="9"/>
      <c r="HW475" s="9"/>
      <c r="HX475" s="9"/>
      <c r="HY475" s="9"/>
      <c r="HZ475" s="9"/>
      <c r="IA475" s="9"/>
      <c r="IB475" s="9"/>
      <c r="IC475" s="9"/>
      <c r="ID475" s="9"/>
      <c r="IE475" s="9"/>
      <c r="IF475" s="9"/>
      <c r="IG475" s="9"/>
      <c r="IH475" s="9"/>
      <c r="II475" s="9"/>
      <c r="IJ475" s="9"/>
      <c r="IK475" s="9"/>
      <c r="IL475" s="9"/>
      <c r="IM475" s="9"/>
      <c r="IN475" s="9"/>
      <c r="IO475" s="9"/>
      <c r="IP475" s="9"/>
      <c r="IQ475" s="9"/>
      <c r="IR475" s="9"/>
      <c r="IS475" s="9"/>
      <c r="IT475" s="9"/>
      <c r="IU475" s="9"/>
      <c r="IV475" s="9"/>
    </row>
    <row r="476" spans="1:256" outlineLevel="1">
      <c r="A476" s="16"/>
      <c r="B476" s="44"/>
      <c r="C476" s="20"/>
      <c r="D476" s="20"/>
      <c r="E476" s="20"/>
      <c r="F476" s="21"/>
      <c r="G476" s="21"/>
      <c r="H476" s="21"/>
      <c r="I476" s="21"/>
      <c r="J476" s="20"/>
      <c r="K476" s="21"/>
      <c r="L476" s="21"/>
      <c r="M476" s="21"/>
      <c r="N476" s="21"/>
      <c r="O476" s="21"/>
      <c r="P476" s="21"/>
      <c r="Q476" s="21"/>
      <c r="R476" s="20"/>
      <c r="S476" s="22">
        <f t="shared" si="34"/>
        <v>0</v>
      </c>
      <c r="T476" s="22">
        <f>COUNTIF($V$4:V476,V476)</f>
        <v>205</v>
      </c>
      <c r="U476" s="22" t="str">
        <f>IF(T476=1,COUNTIF($T$4:T476,1),"")</f>
        <v/>
      </c>
      <c r="V476" s="23" t="str">
        <f t="shared" si="35"/>
        <v/>
      </c>
      <c r="W476" s="23">
        <f t="shared" si="33"/>
        <v>0</v>
      </c>
      <c r="X476" s="24"/>
      <c r="Y476" s="23"/>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c r="EV476" s="9"/>
      <c r="EW476" s="9"/>
      <c r="EX476" s="9"/>
      <c r="EY476" s="9"/>
      <c r="EZ476" s="9"/>
      <c r="FA476" s="9"/>
      <c r="FB476" s="9"/>
      <c r="FC476" s="9"/>
      <c r="FD476" s="9"/>
      <c r="FE476" s="9"/>
      <c r="FF476" s="9"/>
      <c r="FG476" s="9"/>
      <c r="FH476" s="9"/>
      <c r="FI476" s="9"/>
      <c r="FJ476" s="9"/>
      <c r="FK476" s="9"/>
      <c r="FL476" s="9"/>
      <c r="FM476" s="9"/>
      <c r="FN476" s="9"/>
      <c r="FO476" s="9"/>
      <c r="FP476" s="9"/>
      <c r="FQ476" s="9"/>
      <c r="FR476" s="9"/>
      <c r="FS476" s="9"/>
      <c r="FT476" s="9"/>
      <c r="FU476" s="9"/>
      <c r="FV476" s="9"/>
      <c r="FW476" s="9"/>
      <c r="FX476" s="9"/>
      <c r="FY476" s="9"/>
      <c r="FZ476" s="9"/>
      <c r="GA476" s="9"/>
      <c r="GB476" s="9"/>
      <c r="GC476" s="9"/>
      <c r="GD476" s="9"/>
      <c r="GE476" s="9"/>
      <c r="GF476" s="9"/>
      <c r="GG476" s="9"/>
      <c r="GH476" s="9"/>
      <c r="GI476" s="9"/>
      <c r="GJ476" s="9"/>
      <c r="GK476" s="9"/>
      <c r="GL476" s="9"/>
      <c r="GM476" s="9"/>
      <c r="GN476" s="9"/>
      <c r="GO476" s="9"/>
      <c r="GP476" s="9"/>
      <c r="GQ476" s="9"/>
      <c r="GR476" s="9"/>
      <c r="GS476" s="9"/>
      <c r="GT476" s="9"/>
      <c r="GU476" s="9"/>
      <c r="GV476" s="9"/>
      <c r="GW476" s="9"/>
      <c r="GX476" s="9"/>
      <c r="GY476" s="9"/>
      <c r="GZ476" s="9"/>
      <c r="HA476" s="9"/>
      <c r="HB476" s="9"/>
      <c r="HC476" s="9"/>
      <c r="HD476" s="9"/>
      <c r="HE476" s="9"/>
      <c r="HF476" s="9"/>
      <c r="HG476" s="9"/>
      <c r="HH476" s="9"/>
      <c r="HI476" s="9"/>
      <c r="HJ476" s="9"/>
      <c r="HK476" s="9"/>
      <c r="HL476" s="9"/>
      <c r="HM476" s="9"/>
      <c r="HN476" s="9"/>
      <c r="HO476" s="9"/>
      <c r="HP476" s="9"/>
      <c r="HQ476" s="9"/>
      <c r="HR476" s="9"/>
      <c r="HS476" s="9"/>
      <c r="HT476" s="9"/>
      <c r="HU476" s="9"/>
      <c r="HV476" s="9"/>
      <c r="HW476" s="9"/>
      <c r="HX476" s="9"/>
      <c r="HY476" s="9"/>
      <c r="HZ476" s="9"/>
      <c r="IA476" s="9"/>
      <c r="IB476" s="9"/>
      <c r="IC476" s="9"/>
      <c r="ID476" s="9"/>
      <c r="IE476" s="9"/>
      <c r="IF476" s="9"/>
      <c r="IG476" s="9"/>
      <c r="IH476" s="9"/>
      <c r="II476" s="9"/>
      <c r="IJ476" s="9"/>
      <c r="IK476" s="9"/>
      <c r="IL476" s="9"/>
      <c r="IM476" s="9"/>
      <c r="IN476" s="9"/>
      <c r="IO476" s="9"/>
      <c r="IP476" s="9"/>
      <c r="IQ476" s="9"/>
      <c r="IR476" s="9"/>
      <c r="IS476" s="9"/>
      <c r="IT476" s="9"/>
      <c r="IU476" s="9"/>
      <c r="IV476" s="9"/>
    </row>
    <row r="477" spans="1:256" outlineLevel="1">
      <c r="A477" s="16"/>
      <c r="B477" s="44"/>
      <c r="C477" s="20"/>
      <c r="D477" s="20"/>
      <c r="E477" s="20"/>
      <c r="F477" s="21"/>
      <c r="G477" s="21"/>
      <c r="H477" s="21"/>
      <c r="I477" s="21"/>
      <c r="J477" s="20"/>
      <c r="K477" s="21"/>
      <c r="L477" s="21"/>
      <c r="M477" s="21"/>
      <c r="N477" s="21"/>
      <c r="O477" s="21"/>
      <c r="P477" s="21"/>
      <c r="Q477" s="21"/>
      <c r="R477" s="20"/>
      <c r="S477" s="22">
        <f t="shared" si="34"/>
        <v>0</v>
      </c>
      <c r="T477" s="22">
        <f>COUNTIF($V$4:V477,V477)</f>
        <v>206</v>
      </c>
      <c r="U477" s="22" t="str">
        <f>IF(T477=1,COUNTIF($T$4:T477,1),"")</f>
        <v/>
      </c>
      <c r="V477" s="23" t="str">
        <f t="shared" si="35"/>
        <v/>
      </c>
      <c r="W477" s="23">
        <f t="shared" si="33"/>
        <v>0</v>
      </c>
      <c r="X477" s="24"/>
      <c r="Y477" s="23"/>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c r="EB477" s="9"/>
      <c r="EC477" s="9"/>
      <c r="ED477" s="9"/>
      <c r="EE477" s="9"/>
      <c r="EF477" s="9"/>
      <c r="EG477" s="9"/>
      <c r="EH477" s="9"/>
      <c r="EI477" s="9"/>
      <c r="EJ477" s="9"/>
      <c r="EK477" s="9"/>
      <c r="EL477" s="9"/>
      <c r="EM477" s="9"/>
      <c r="EN477" s="9"/>
      <c r="EO477" s="9"/>
      <c r="EP477" s="9"/>
      <c r="EQ477" s="9"/>
      <c r="ER477" s="9"/>
      <c r="ES477" s="9"/>
      <c r="ET477" s="9"/>
      <c r="EU477" s="9"/>
      <c r="EV477" s="9"/>
      <c r="EW477" s="9"/>
      <c r="EX477" s="9"/>
      <c r="EY477" s="9"/>
      <c r="EZ477" s="9"/>
      <c r="FA477" s="9"/>
      <c r="FB477" s="9"/>
      <c r="FC477" s="9"/>
      <c r="FD477" s="9"/>
      <c r="FE477" s="9"/>
      <c r="FF477" s="9"/>
      <c r="FG477" s="9"/>
      <c r="FH477" s="9"/>
      <c r="FI477" s="9"/>
      <c r="FJ477" s="9"/>
      <c r="FK477" s="9"/>
      <c r="FL477" s="9"/>
      <c r="FM477" s="9"/>
      <c r="FN477" s="9"/>
      <c r="FO477" s="9"/>
      <c r="FP477" s="9"/>
      <c r="FQ477" s="9"/>
      <c r="FR477" s="9"/>
      <c r="FS477" s="9"/>
      <c r="FT477" s="9"/>
      <c r="FU477" s="9"/>
      <c r="FV477" s="9"/>
      <c r="FW477" s="9"/>
      <c r="FX477" s="9"/>
      <c r="FY477" s="9"/>
      <c r="FZ477" s="9"/>
      <c r="GA477" s="9"/>
      <c r="GB477" s="9"/>
      <c r="GC477" s="9"/>
      <c r="GD477" s="9"/>
      <c r="GE477" s="9"/>
      <c r="GF477" s="9"/>
      <c r="GG477" s="9"/>
      <c r="GH477" s="9"/>
      <c r="GI477" s="9"/>
      <c r="GJ477" s="9"/>
      <c r="GK477" s="9"/>
      <c r="GL477" s="9"/>
      <c r="GM477" s="9"/>
      <c r="GN477" s="9"/>
      <c r="GO477" s="9"/>
      <c r="GP477" s="9"/>
      <c r="GQ477" s="9"/>
      <c r="GR477" s="9"/>
      <c r="GS477" s="9"/>
      <c r="GT477" s="9"/>
      <c r="GU477" s="9"/>
      <c r="GV477" s="9"/>
      <c r="GW477" s="9"/>
      <c r="GX477" s="9"/>
      <c r="GY477" s="9"/>
      <c r="GZ477" s="9"/>
      <c r="HA477" s="9"/>
      <c r="HB477" s="9"/>
      <c r="HC477" s="9"/>
      <c r="HD477" s="9"/>
      <c r="HE477" s="9"/>
      <c r="HF477" s="9"/>
      <c r="HG477" s="9"/>
      <c r="HH477" s="9"/>
      <c r="HI477" s="9"/>
      <c r="HJ477" s="9"/>
      <c r="HK477" s="9"/>
      <c r="HL477" s="9"/>
      <c r="HM477" s="9"/>
      <c r="HN477" s="9"/>
      <c r="HO477" s="9"/>
      <c r="HP477" s="9"/>
      <c r="HQ477" s="9"/>
      <c r="HR477" s="9"/>
      <c r="HS477" s="9"/>
      <c r="HT477" s="9"/>
      <c r="HU477" s="9"/>
      <c r="HV477" s="9"/>
      <c r="HW477" s="9"/>
      <c r="HX477" s="9"/>
      <c r="HY477" s="9"/>
      <c r="HZ477" s="9"/>
      <c r="IA477" s="9"/>
      <c r="IB477" s="9"/>
      <c r="IC477" s="9"/>
      <c r="ID477" s="9"/>
      <c r="IE477" s="9"/>
      <c r="IF477" s="9"/>
      <c r="IG477" s="9"/>
      <c r="IH477" s="9"/>
      <c r="II477" s="9"/>
      <c r="IJ477" s="9"/>
      <c r="IK477" s="9"/>
      <c r="IL477" s="9"/>
      <c r="IM477" s="9"/>
      <c r="IN477" s="9"/>
      <c r="IO477" s="9"/>
      <c r="IP477" s="9"/>
      <c r="IQ477" s="9"/>
      <c r="IR477" s="9"/>
      <c r="IS477" s="9"/>
      <c r="IT477" s="9"/>
      <c r="IU477" s="9"/>
      <c r="IV477" s="9"/>
    </row>
    <row r="478" spans="1:256" outlineLevel="1">
      <c r="A478" s="16"/>
      <c r="B478" s="44"/>
      <c r="C478" s="20"/>
      <c r="D478" s="20"/>
      <c r="E478" s="20"/>
      <c r="F478" s="21"/>
      <c r="G478" s="21"/>
      <c r="H478" s="21"/>
      <c r="I478" s="21"/>
      <c r="J478" s="20"/>
      <c r="K478" s="21"/>
      <c r="L478" s="21"/>
      <c r="M478" s="21"/>
      <c r="N478" s="21"/>
      <c r="O478" s="21"/>
      <c r="P478" s="21"/>
      <c r="Q478" s="21"/>
      <c r="R478" s="20"/>
      <c r="S478" s="22">
        <f t="shared" si="34"/>
        <v>0</v>
      </c>
      <c r="T478" s="22">
        <f>COUNTIF($V$4:V478,V478)</f>
        <v>207</v>
      </c>
      <c r="U478" s="22" t="str">
        <f>IF(T478=1,COUNTIF($T$4:T478,1),"")</f>
        <v/>
      </c>
      <c r="V478" s="23" t="str">
        <f t="shared" si="35"/>
        <v/>
      </c>
      <c r="W478" s="23">
        <f t="shared" si="33"/>
        <v>0</v>
      </c>
      <c r="X478" s="24"/>
      <c r="Y478" s="23"/>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c r="HH478" s="9"/>
      <c r="HI478" s="9"/>
      <c r="HJ478" s="9"/>
      <c r="HK478" s="9"/>
      <c r="HL478" s="9"/>
      <c r="HM478" s="9"/>
      <c r="HN478" s="9"/>
      <c r="HO478" s="9"/>
      <c r="HP478" s="9"/>
      <c r="HQ478" s="9"/>
      <c r="HR478" s="9"/>
      <c r="HS478" s="9"/>
      <c r="HT478" s="9"/>
      <c r="HU478" s="9"/>
      <c r="HV478" s="9"/>
      <c r="HW478" s="9"/>
      <c r="HX478" s="9"/>
      <c r="HY478" s="9"/>
      <c r="HZ478" s="9"/>
      <c r="IA478" s="9"/>
      <c r="IB478" s="9"/>
      <c r="IC478" s="9"/>
      <c r="ID478" s="9"/>
      <c r="IE478" s="9"/>
      <c r="IF478" s="9"/>
      <c r="IG478" s="9"/>
      <c r="IH478" s="9"/>
      <c r="II478" s="9"/>
      <c r="IJ478" s="9"/>
      <c r="IK478" s="9"/>
      <c r="IL478" s="9"/>
      <c r="IM478" s="9"/>
      <c r="IN478" s="9"/>
      <c r="IO478" s="9"/>
      <c r="IP478" s="9"/>
      <c r="IQ478" s="9"/>
      <c r="IR478" s="9"/>
      <c r="IS478" s="9"/>
      <c r="IT478" s="9"/>
      <c r="IU478" s="9"/>
      <c r="IV478" s="9"/>
    </row>
    <row r="479" spans="1:256" outlineLevel="1">
      <c r="A479" s="16"/>
      <c r="B479" s="44"/>
      <c r="C479" s="20"/>
      <c r="D479" s="20"/>
      <c r="E479" s="20"/>
      <c r="F479" s="21"/>
      <c r="G479" s="21"/>
      <c r="H479" s="21"/>
      <c r="I479" s="21"/>
      <c r="J479" s="20"/>
      <c r="K479" s="21"/>
      <c r="L479" s="21"/>
      <c r="M479" s="21"/>
      <c r="N479" s="21"/>
      <c r="O479" s="21"/>
      <c r="P479" s="21"/>
      <c r="Q479" s="21"/>
      <c r="R479" s="20"/>
      <c r="S479" s="22">
        <f t="shared" si="34"/>
        <v>0</v>
      </c>
      <c r="T479" s="22">
        <f>COUNTIF($V$4:V479,V479)</f>
        <v>208</v>
      </c>
      <c r="U479" s="22" t="str">
        <f>IF(T479=1,COUNTIF($T$4:T479,1),"")</f>
        <v/>
      </c>
      <c r="V479" s="23" t="str">
        <f t="shared" si="35"/>
        <v/>
      </c>
      <c r="W479" s="23">
        <f t="shared" si="33"/>
        <v>0</v>
      </c>
      <c r="X479" s="24"/>
      <c r="Y479" s="23"/>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c r="EV479" s="9"/>
      <c r="EW479" s="9"/>
      <c r="EX479" s="9"/>
      <c r="EY479" s="9"/>
      <c r="EZ479" s="9"/>
      <c r="FA479" s="9"/>
      <c r="FB479" s="9"/>
      <c r="FC479" s="9"/>
      <c r="FD479" s="9"/>
      <c r="FE479" s="9"/>
      <c r="FF479" s="9"/>
      <c r="FG479" s="9"/>
      <c r="FH479" s="9"/>
      <c r="FI479" s="9"/>
      <c r="FJ479" s="9"/>
      <c r="FK479" s="9"/>
      <c r="FL479" s="9"/>
      <c r="FM479" s="9"/>
      <c r="FN479" s="9"/>
      <c r="FO479" s="9"/>
      <c r="FP479" s="9"/>
      <c r="FQ479" s="9"/>
      <c r="FR479" s="9"/>
      <c r="FS479" s="9"/>
      <c r="FT479" s="9"/>
      <c r="FU479" s="9"/>
      <c r="FV479" s="9"/>
      <c r="FW479" s="9"/>
      <c r="FX479" s="9"/>
      <c r="FY479" s="9"/>
      <c r="FZ479" s="9"/>
      <c r="GA479" s="9"/>
      <c r="GB479" s="9"/>
      <c r="GC479" s="9"/>
      <c r="GD479" s="9"/>
      <c r="GE479" s="9"/>
      <c r="GF479" s="9"/>
      <c r="GG479" s="9"/>
      <c r="GH479" s="9"/>
      <c r="GI479" s="9"/>
      <c r="GJ479" s="9"/>
      <c r="GK479" s="9"/>
      <c r="GL479" s="9"/>
      <c r="GM479" s="9"/>
      <c r="GN479" s="9"/>
      <c r="GO479" s="9"/>
      <c r="GP479" s="9"/>
      <c r="GQ479" s="9"/>
      <c r="GR479" s="9"/>
      <c r="GS479" s="9"/>
      <c r="GT479" s="9"/>
      <c r="GU479" s="9"/>
      <c r="GV479" s="9"/>
      <c r="GW479" s="9"/>
      <c r="GX479" s="9"/>
      <c r="GY479" s="9"/>
      <c r="GZ479" s="9"/>
      <c r="HA479" s="9"/>
      <c r="HB479" s="9"/>
      <c r="HC479" s="9"/>
      <c r="HD479" s="9"/>
      <c r="HE479" s="9"/>
      <c r="HF479" s="9"/>
      <c r="HG479" s="9"/>
      <c r="HH479" s="9"/>
      <c r="HI479" s="9"/>
      <c r="HJ479" s="9"/>
      <c r="HK479" s="9"/>
      <c r="HL479" s="9"/>
      <c r="HM479" s="9"/>
      <c r="HN479" s="9"/>
      <c r="HO479" s="9"/>
      <c r="HP479" s="9"/>
      <c r="HQ479" s="9"/>
      <c r="HR479" s="9"/>
      <c r="HS479" s="9"/>
      <c r="HT479" s="9"/>
      <c r="HU479" s="9"/>
      <c r="HV479" s="9"/>
      <c r="HW479" s="9"/>
      <c r="HX479" s="9"/>
      <c r="HY479" s="9"/>
      <c r="HZ479" s="9"/>
      <c r="IA479" s="9"/>
      <c r="IB479" s="9"/>
      <c r="IC479" s="9"/>
      <c r="ID479" s="9"/>
      <c r="IE479" s="9"/>
      <c r="IF479" s="9"/>
      <c r="IG479" s="9"/>
      <c r="IH479" s="9"/>
      <c r="II479" s="9"/>
      <c r="IJ479" s="9"/>
      <c r="IK479" s="9"/>
      <c r="IL479" s="9"/>
      <c r="IM479" s="9"/>
      <c r="IN479" s="9"/>
      <c r="IO479" s="9"/>
      <c r="IP479" s="9"/>
      <c r="IQ479" s="9"/>
      <c r="IR479" s="9"/>
      <c r="IS479" s="9"/>
      <c r="IT479" s="9"/>
      <c r="IU479" s="9"/>
      <c r="IV479" s="9"/>
    </row>
    <row r="480" spans="1:256" outlineLevel="1">
      <c r="A480" s="16"/>
      <c r="B480" s="44"/>
      <c r="C480" s="20"/>
      <c r="D480" s="20"/>
      <c r="E480" s="20"/>
      <c r="F480" s="21"/>
      <c r="G480" s="21"/>
      <c r="H480" s="21"/>
      <c r="I480" s="21"/>
      <c r="J480" s="20"/>
      <c r="K480" s="21"/>
      <c r="L480" s="21"/>
      <c r="M480" s="21"/>
      <c r="N480" s="21"/>
      <c r="O480" s="21"/>
      <c r="P480" s="21"/>
      <c r="Q480" s="21"/>
      <c r="R480" s="20"/>
      <c r="S480" s="22">
        <f t="shared" si="34"/>
        <v>0</v>
      </c>
      <c r="T480" s="22">
        <f>COUNTIF($V$4:V480,V480)</f>
        <v>209</v>
      </c>
      <c r="U480" s="22" t="str">
        <f>IF(T480=1,COUNTIF($T$4:T480,1),"")</f>
        <v/>
      </c>
      <c r="V480" s="23" t="str">
        <f t="shared" si="35"/>
        <v/>
      </c>
      <c r="W480" s="23">
        <f t="shared" si="33"/>
        <v>0</v>
      </c>
      <c r="X480" s="24"/>
      <c r="Y480" s="23"/>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c r="EV480" s="9"/>
      <c r="EW480" s="9"/>
      <c r="EX480" s="9"/>
      <c r="EY480" s="9"/>
      <c r="EZ480" s="9"/>
      <c r="FA480" s="9"/>
      <c r="FB480" s="9"/>
      <c r="FC480" s="9"/>
      <c r="FD480" s="9"/>
      <c r="FE480" s="9"/>
      <c r="FF480" s="9"/>
      <c r="FG480" s="9"/>
      <c r="FH480" s="9"/>
      <c r="FI480" s="9"/>
      <c r="FJ480" s="9"/>
      <c r="FK480" s="9"/>
      <c r="FL480" s="9"/>
      <c r="FM480" s="9"/>
      <c r="FN480" s="9"/>
      <c r="FO480" s="9"/>
      <c r="FP480" s="9"/>
      <c r="FQ480" s="9"/>
      <c r="FR480" s="9"/>
      <c r="FS480" s="9"/>
      <c r="FT480" s="9"/>
      <c r="FU480" s="9"/>
      <c r="FV480" s="9"/>
      <c r="FW480" s="9"/>
      <c r="FX480" s="9"/>
      <c r="FY480" s="9"/>
      <c r="FZ480" s="9"/>
      <c r="GA480" s="9"/>
      <c r="GB480" s="9"/>
      <c r="GC480" s="9"/>
      <c r="GD480" s="9"/>
      <c r="GE480" s="9"/>
      <c r="GF480" s="9"/>
      <c r="GG480" s="9"/>
      <c r="GH480" s="9"/>
      <c r="GI480" s="9"/>
      <c r="GJ480" s="9"/>
      <c r="GK480" s="9"/>
      <c r="GL480" s="9"/>
      <c r="GM480" s="9"/>
      <c r="GN480" s="9"/>
      <c r="GO480" s="9"/>
      <c r="GP480" s="9"/>
      <c r="GQ480" s="9"/>
      <c r="GR480" s="9"/>
      <c r="GS480" s="9"/>
      <c r="GT480" s="9"/>
      <c r="GU480" s="9"/>
      <c r="GV480" s="9"/>
      <c r="GW480" s="9"/>
      <c r="GX480" s="9"/>
      <c r="GY480" s="9"/>
      <c r="GZ480" s="9"/>
      <c r="HA480" s="9"/>
      <c r="HB480" s="9"/>
      <c r="HC480" s="9"/>
      <c r="HD480" s="9"/>
      <c r="HE480" s="9"/>
      <c r="HF480" s="9"/>
      <c r="HG480" s="9"/>
      <c r="HH480" s="9"/>
      <c r="HI480" s="9"/>
      <c r="HJ480" s="9"/>
      <c r="HK480" s="9"/>
      <c r="HL480" s="9"/>
      <c r="HM480" s="9"/>
      <c r="HN480" s="9"/>
      <c r="HO480" s="9"/>
      <c r="HP480" s="9"/>
      <c r="HQ480" s="9"/>
      <c r="HR480" s="9"/>
      <c r="HS480" s="9"/>
      <c r="HT480" s="9"/>
      <c r="HU480" s="9"/>
      <c r="HV480" s="9"/>
      <c r="HW480" s="9"/>
      <c r="HX480" s="9"/>
      <c r="HY480" s="9"/>
      <c r="HZ480" s="9"/>
      <c r="IA480" s="9"/>
      <c r="IB480" s="9"/>
      <c r="IC480" s="9"/>
      <c r="ID480" s="9"/>
      <c r="IE480" s="9"/>
      <c r="IF480" s="9"/>
      <c r="IG480" s="9"/>
      <c r="IH480" s="9"/>
      <c r="II480" s="9"/>
      <c r="IJ480" s="9"/>
      <c r="IK480" s="9"/>
      <c r="IL480" s="9"/>
      <c r="IM480" s="9"/>
      <c r="IN480" s="9"/>
      <c r="IO480" s="9"/>
      <c r="IP480" s="9"/>
      <c r="IQ480" s="9"/>
      <c r="IR480" s="9"/>
      <c r="IS480" s="9"/>
      <c r="IT480" s="9"/>
      <c r="IU480" s="9"/>
      <c r="IV480" s="9"/>
    </row>
    <row r="481" spans="1:256" outlineLevel="1">
      <c r="A481" s="16"/>
      <c r="B481" s="44"/>
      <c r="C481" s="20"/>
      <c r="D481" s="20"/>
      <c r="E481" s="20"/>
      <c r="F481" s="21"/>
      <c r="G481" s="21"/>
      <c r="H481" s="21"/>
      <c r="I481" s="21"/>
      <c r="J481" s="20"/>
      <c r="K481" s="21"/>
      <c r="L481" s="21"/>
      <c r="M481" s="21"/>
      <c r="N481" s="21"/>
      <c r="O481" s="21"/>
      <c r="P481" s="21"/>
      <c r="Q481" s="21"/>
      <c r="R481" s="20"/>
      <c r="S481" s="22">
        <f t="shared" si="34"/>
        <v>0</v>
      </c>
      <c r="T481" s="22">
        <f>COUNTIF($V$4:V481,V481)</f>
        <v>210</v>
      </c>
      <c r="U481" s="22" t="str">
        <f>IF(T481=1,COUNTIF($T$4:T481,1),"")</f>
        <v/>
      </c>
      <c r="V481" s="23" t="str">
        <f t="shared" si="35"/>
        <v/>
      </c>
      <c r="W481" s="23">
        <f t="shared" si="33"/>
        <v>0</v>
      </c>
      <c r="X481" s="24"/>
      <c r="Y481" s="23"/>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c r="EB481" s="9"/>
      <c r="EC481" s="9"/>
      <c r="ED481" s="9"/>
      <c r="EE481" s="9"/>
      <c r="EF481" s="9"/>
      <c r="EG481" s="9"/>
      <c r="EH481" s="9"/>
      <c r="EI481" s="9"/>
      <c r="EJ481" s="9"/>
      <c r="EK481" s="9"/>
      <c r="EL481" s="9"/>
      <c r="EM481" s="9"/>
      <c r="EN481" s="9"/>
      <c r="EO481" s="9"/>
      <c r="EP481" s="9"/>
      <c r="EQ481" s="9"/>
      <c r="ER481" s="9"/>
      <c r="ES481" s="9"/>
      <c r="ET481" s="9"/>
      <c r="EU481" s="9"/>
      <c r="EV481" s="9"/>
      <c r="EW481" s="9"/>
      <c r="EX481" s="9"/>
      <c r="EY481" s="9"/>
      <c r="EZ481" s="9"/>
      <c r="FA481" s="9"/>
      <c r="FB481" s="9"/>
      <c r="FC481" s="9"/>
      <c r="FD481" s="9"/>
      <c r="FE481" s="9"/>
      <c r="FF481" s="9"/>
      <c r="FG481" s="9"/>
      <c r="FH481" s="9"/>
      <c r="FI481" s="9"/>
      <c r="FJ481" s="9"/>
      <c r="FK481" s="9"/>
      <c r="FL481" s="9"/>
      <c r="FM481" s="9"/>
      <c r="FN481" s="9"/>
      <c r="FO481" s="9"/>
      <c r="FP481" s="9"/>
      <c r="FQ481" s="9"/>
      <c r="FR481" s="9"/>
      <c r="FS481" s="9"/>
      <c r="FT481" s="9"/>
      <c r="FU481" s="9"/>
      <c r="FV481" s="9"/>
      <c r="FW481" s="9"/>
      <c r="FX481" s="9"/>
      <c r="FY481" s="9"/>
      <c r="FZ481" s="9"/>
      <c r="GA481" s="9"/>
      <c r="GB481" s="9"/>
      <c r="GC481" s="9"/>
      <c r="GD481" s="9"/>
      <c r="GE481" s="9"/>
      <c r="GF481" s="9"/>
      <c r="GG481" s="9"/>
      <c r="GH481" s="9"/>
      <c r="GI481" s="9"/>
      <c r="GJ481" s="9"/>
      <c r="GK481" s="9"/>
      <c r="GL481" s="9"/>
      <c r="GM481" s="9"/>
      <c r="GN481" s="9"/>
      <c r="GO481" s="9"/>
      <c r="GP481" s="9"/>
      <c r="GQ481" s="9"/>
      <c r="GR481" s="9"/>
      <c r="GS481" s="9"/>
      <c r="GT481" s="9"/>
      <c r="GU481" s="9"/>
      <c r="GV481" s="9"/>
      <c r="GW481" s="9"/>
      <c r="GX481" s="9"/>
      <c r="GY481" s="9"/>
      <c r="GZ481" s="9"/>
      <c r="HA481" s="9"/>
      <c r="HB481" s="9"/>
      <c r="HC481" s="9"/>
      <c r="HD481" s="9"/>
      <c r="HE481" s="9"/>
      <c r="HF481" s="9"/>
      <c r="HG481" s="9"/>
      <c r="HH481" s="9"/>
      <c r="HI481" s="9"/>
      <c r="HJ481" s="9"/>
      <c r="HK481" s="9"/>
      <c r="HL481" s="9"/>
      <c r="HM481" s="9"/>
      <c r="HN481" s="9"/>
      <c r="HO481" s="9"/>
      <c r="HP481" s="9"/>
      <c r="HQ481" s="9"/>
      <c r="HR481" s="9"/>
      <c r="HS481" s="9"/>
      <c r="HT481" s="9"/>
      <c r="HU481" s="9"/>
      <c r="HV481" s="9"/>
      <c r="HW481" s="9"/>
      <c r="HX481" s="9"/>
      <c r="HY481" s="9"/>
      <c r="HZ481" s="9"/>
      <c r="IA481" s="9"/>
      <c r="IB481" s="9"/>
      <c r="IC481" s="9"/>
      <c r="ID481" s="9"/>
      <c r="IE481" s="9"/>
      <c r="IF481" s="9"/>
      <c r="IG481" s="9"/>
      <c r="IH481" s="9"/>
      <c r="II481" s="9"/>
      <c r="IJ481" s="9"/>
      <c r="IK481" s="9"/>
      <c r="IL481" s="9"/>
      <c r="IM481" s="9"/>
      <c r="IN481" s="9"/>
      <c r="IO481" s="9"/>
      <c r="IP481" s="9"/>
      <c r="IQ481" s="9"/>
      <c r="IR481" s="9"/>
      <c r="IS481" s="9"/>
      <c r="IT481" s="9"/>
      <c r="IU481" s="9"/>
      <c r="IV481" s="9"/>
    </row>
    <row r="482" spans="1:256" outlineLevel="1">
      <c r="A482" s="16"/>
      <c r="B482" s="44"/>
      <c r="C482" s="20"/>
      <c r="D482" s="20"/>
      <c r="E482" s="20"/>
      <c r="F482" s="21"/>
      <c r="G482" s="21"/>
      <c r="H482" s="21"/>
      <c r="I482" s="21"/>
      <c r="J482" s="20"/>
      <c r="K482" s="21"/>
      <c r="L482" s="21"/>
      <c r="M482" s="21"/>
      <c r="N482" s="21"/>
      <c r="O482" s="21"/>
      <c r="P482" s="21"/>
      <c r="Q482" s="21"/>
      <c r="R482" s="20"/>
      <c r="S482" s="22">
        <f t="shared" si="34"/>
        <v>0</v>
      </c>
      <c r="T482" s="22">
        <f>COUNTIF($V$4:V482,V482)</f>
        <v>211</v>
      </c>
      <c r="U482" s="22" t="str">
        <f>IF(T482=1,COUNTIF($T$4:T482,1),"")</f>
        <v/>
      </c>
      <c r="V482" s="23" t="str">
        <f t="shared" si="35"/>
        <v/>
      </c>
      <c r="W482" s="23">
        <f t="shared" si="33"/>
        <v>0</v>
      </c>
      <c r="X482" s="24"/>
      <c r="Y482" s="23"/>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c r="EB482" s="9"/>
      <c r="EC482" s="9"/>
      <c r="ED482" s="9"/>
      <c r="EE482" s="9"/>
      <c r="EF482" s="9"/>
      <c r="EG482" s="9"/>
      <c r="EH482" s="9"/>
      <c r="EI482" s="9"/>
      <c r="EJ482" s="9"/>
      <c r="EK482" s="9"/>
      <c r="EL482" s="9"/>
      <c r="EM482" s="9"/>
      <c r="EN482" s="9"/>
      <c r="EO482" s="9"/>
      <c r="EP482" s="9"/>
      <c r="EQ482" s="9"/>
      <c r="ER482" s="9"/>
      <c r="ES482" s="9"/>
      <c r="ET482" s="9"/>
      <c r="EU482" s="9"/>
      <c r="EV482" s="9"/>
      <c r="EW482" s="9"/>
      <c r="EX482" s="9"/>
      <c r="EY482" s="9"/>
      <c r="EZ482" s="9"/>
      <c r="FA482" s="9"/>
      <c r="FB482" s="9"/>
      <c r="FC482" s="9"/>
      <c r="FD482" s="9"/>
      <c r="FE482" s="9"/>
      <c r="FF482" s="9"/>
      <c r="FG482" s="9"/>
      <c r="FH482" s="9"/>
      <c r="FI482" s="9"/>
      <c r="FJ482" s="9"/>
      <c r="FK482" s="9"/>
      <c r="FL482" s="9"/>
      <c r="FM482" s="9"/>
      <c r="FN482" s="9"/>
      <c r="FO482" s="9"/>
      <c r="FP482" s="9"/>
      <c r="FQ482" s="9"/>
      <c r="FR482" s="9"/>
      <c r="FS482" s="9"/>
      <c r="FT482" s="9"/>
      <c r="FU482" s="9"/>
      <c r="FV482" s="9"/>
      <c r="FW482" s="9"/>
      <c r="FX482" s="9"/>
      <c r="FY482" s="9"/>
      <c r="FZ482" s="9"/>
      <c r="GA482" s="9"/>
      <c r="GB482" s="9"/>
      <c r="GC482" s="9"/>
      <c r="GD482" s="9"/>
      <c r="GE482" s="9"/>
      <c r="GF482" s="9"/>
      <c r="GG482" s="9"/>
      <c r="GH482" s="9"/>
      <c r="GI482" s="9"/>
      <c r="GJ482" s="9"/>
      <c r="GK482" s="9"/>
      <c r="GL482" s="9"/>
      <c r="GM482" s="9"/>
      <c r="GN482" s="9"/>
      <c r="GO482" s="9"/>
      <c r="GP482" s="9"/>
      <c r="GQ482" s="9"/>
      <c r="GR482" s="9"/>
      <c r="GS482" s="9"/>
      <c r="GT482" s="9"/>
      <c r="GU482" s="9"/>
      <c r="GV482" s="9"/>
      <c r="GW482" s="9"/>
      <c r="GX482" s="9"/>
      <c r="GY482" s="9"/>
      <c r="GZ482" s="9"/>
      <c r="HA482" s="9"/>
      <c r="HB482" s="9"/>
      <c r="HC482" s="9"/>
      <c r="HD482" s="9"/>
      <c r="HE482" s="9"/>
      <c r="HF482" s="9"/>
      <c r="HG482" s="9"/>
      <c r="HH482" s="9"/>
      <c r="HI482" s="9"/>
      <c r="HJ482" s="9"/>
      <c r="HK482" s="9"/>
      <c r="HL482" s="9"/>
      <c r="HM482" s="9"/>
      <c r="HN482" s="9"/>
      <c r="HO482" s="9"/>
      <c r="HP482" s="9"/>
      <c r="HQ482" s="9"/>
      <c r="HR482" s="9"/>
      <c r="HS482" s="9"/>
      <c r="HT482" s="9"/>
      <c r="HU482" s="9"/>
      <c r="HV482" s="9"/>
      <c r="HW482" s="9"/>
      <c r="HX482" s="9"/>
      <c r="HY482" s="9"/>
      <c r="HZ482" s="9"/>
      <c r="IA482" s="9"/>
      <c r="IB482" s="9"/>
      <c r="IC482" s="9"/>
      <c r="ID482" s="9"/>
      <c r="IE482" s="9"/>
      <c r="IF482" s="9"/>
      <c r="IG482" s="9"/>
      <c r="IH482" s="9"/>
      <c r="II482" s="9"/>
      <c r="IJ482" s="9"/>
      <c r="IK482" s="9"/>
      <c r="IL482" s="9"/>
      <c r="IM482" s="9"/>
      <c r="IN482" s="9"/>
      <c r="IO482" s="9"/>
      <c r="IP482" s="9"/>
      <c r="IQ482" s="9"/>
      <c r="IR482" s="9"/>
      <c r="IS482" s="9"/>
      <c r="IT482" s="9"/>
      <c r="IU482" s="9"/>
      <c r="IV482" s="9"/>
    </row>
    <row r="483" spans="1:256" outlineLevel="1">
      <c r="A483" s="16"/>
      <c r="B483" s="44"/>
      <c r="C483" s="20"/>
      <c r="D483" s="20"/>
      <c r="E483" s="20"/>
      <c r="F483" s="21"/>
      <c r="G483" s="21"/>
      <c r="H483" s="21"/>
      <c r="I483" s="21"/>
      <c r="J483" s="20"/>
      <c r="K483" s="21"/>
      <c r="L483" s="21"/>
      <c r="M483" s="21"/>
      <c r="N483" s="21"/>
      <c r="O483" s="21"/>
      <c r="P483" s="21"/>
      <c r="Q483" s="21"/>
      <c r="R483" s="20"/>
      <c r="S483" s="22">
        <f t="shared" si="34"/>
        <v>0</v>
      </c>
      <c r="T483" s="22">
        <f>COUNTIF($V$4:V483,V483)</f>
        <v>212</v>
      </c>
      <c r="U483" s="22" t="str">
        <f>IF(T483=1,COUNTIF($T$4:T483,1),"")</f>
        <v/>
      </c>
      <c r="V483" s="23" t="str">
        <f t="shared" si="35"/>
        <v/>
      </c>
      <c r="W483" s="23">
        <f t="shared" si="33"/>
        <v>0</v>
      </c>
      <c r="X483" s="24"/>
      <c r="Y483" s="23"/>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c r="EB483" s="9"/>
      <c r="EC483" s="9"/>
      <c r="ED483" s="9"/>
      <c r="EE483" s="9"/>
      <c r="EF483" s="9"/>
      <c r="EG483" s="9"/>
      <c r="EH483" s="9"/>
      <c r="EI483" s="9"/>
      <c r="EJ483" s="9"/>
      <c r="EK483" s="9"/>
      <c r="EL483" s="9"/>
      <c r="EM483" s="9"/>
      <c r="EN483" s="9"/>
      <c r="EO483" s="9"/>
      <c r="EP483" s="9"/>
      <c r="EQ483" s="9"/>
      <c r="ER483" s="9"/>
      <c r="ES483" s="9"/>
      <c r="ET483" s="9"/>
      <c r="EU483" s="9"/>
      <c r="EV483" s="9"/>
      <c r="EW483" s="9"/>
      <c r="EX483" s="9"/>
      <c r="EY483" s="9"/>
      <c r="EZ483" s="9"/>
      <c r="FA483" s="9"/>
      <c r="FB483" s="9"/>
      <c r="FC483" s="9"/>
      <c r="FD483" s="9"/>
      <c r="FE483" s="9"/>
      <c r="FF483" s="9"/>
      <c r="FG483" s="9"/>
      <c r="FH483" s="9"/>
      <c r="FI483" s="9"/>
      <c r="FJ483" s="9"/>
      <c r="FK483" s="9"/>
      <c r="FL483" s="9"/>
      <c r="FM483" s="9"/>
      <c r="FN483" s="9"/>
      <c r="FO483" s="9"/>
      <c r="FP483" s="9"/>
      <c r="FQ483" s="9"/>
      <c r="FR483" s="9"/>
      <c r="FS483" s="9"/>
      <c r="FT483" s="9"/>
      <c r="FU483" s="9"/>
      <c r="FV483" s="9"/>
      <c r="FW483" s="9"/>
      <c r="FX483" s="9"/>
      <c r="FY483" s="9"/>
      <c r="FZ483" s="9"/>
      <c r="GA483" s="9"/>
      <c r="GB483" s="9"/>
      <c r="GC483" s="9"/>
      <c r="GD483" s="9"/>
      <c r="GE483" s="9"/>
      <c r="GF483" s="9"/>
      <c r="GG483" s="9"/>
      <c r="GH483" s="9"/>
      <c r="GI483" s="9"/>
      <c r="GJ483" s="9"/>
      <c r="GK483" s="9"/>
      <c r="GL483" s="9"/>
      <c r="GM483" s="9"/>
      <c r="GN483" s="9"/>
      <c r="GO483" s="9"/>
      <c r="GP483" s="9"/>
      <c r="GQ483" s="9"/>
      <c r="GR483" s="9"/>
      <c r="GS483" s="9"/>
      <c r="GT483" s="9"/>
      <c r="GU483" s="9"/>
      <c r="GV483" s="9"/>
      <c r="GW483" s="9"/>
      <c r="GX483" s="9"/>
      <c r="GY483" s="9"/>
      <c r="GZ483" s="9"/>
      <c r="HA483" s="9"/>
      <c r="HB483" s="9"/>
      <c r="HC483" s="9"/>
      <c r="HD483" s="9"/>
      <c r="HE483" s="9"/>
      <c r="HF483" s="9"/>
      <c r="HG483" s="9"/>
      <c r="HH483" s="9"/>
      <c r="HI483" s="9"/>
      <c r="HJ483" s="9"/>
      <c r="HK483" s="9"/>
      <c r="HL483" s="9"/>
      <c r="HM483" s="9"/>
      <c r="HN483" s="9"/>
      <c r="HO483" s="9"/>
      <c r="HP483" s="9"/>
      <c r="HQ483" s="9"/>
      <c r="HR483" s="9"/>
      <c r="HS483" s="9"/>
      <c r="HT483" s="9"/>
      <c r="HU483" s="9"/>
      <c r="HV483" s="9"/>
      <c r="HW483" s="9"/>
      <c r="HX483" s="9"/>
      <c r="HY483" s="9"/>
      <c r="HZ483" s="9"/>
      <c r="IA483" s="9"/>
      <c r="IB483" s="9"/>
      <c r="IC483" s="9"/>
      <c r="ID483" s="9"/>
      <c r="IE483" s="9"/>
      <c r="IF483" s="9"/>
      <c r="IG483" s="9"/>
      <c r="IH483" s="9"/>
      <c r="II483" s="9"/>
      <c r="IJ483" s="9"/>
      <c r="IK483" s="9"/>
      <c r="IL483" s="9"/>
      <c r="IM483" s="9"/>
      <c r="IN483" s="9"/>
      <c r="IO483" s="9"/>
      <c r="IP483" s="9"/>
      <c r="IQ483" s="9"/>
      <c r="IR483" s="9"/>
      <c r="IS483" s="9"/>
      <c r="IT483" s="9"/>
      <c r="IU483" s="9"/>
      <c r="IV483" s="9"/>
    </row>
    <row r="484" spans="1:256" outlineLevel="1">
      <c r="A484" s="16"/>
      <c r="B484" s="44"/>
      <c r="C484" s="20"/>
      <c r="D484" s="20"/>
      <c r="E484" s="20"/>
      <c r="F484" s="21"/>
      <c r="G484" s="21"/>
      <c r="H484" s="21"/>
      <c r="I484" s="21"/>
      <c r="J484" s="40"/>
      <c r="K484" s="21"/>
      <c r="L484" s="21"/>
      <c r="M484" s="21"/>
      <c r="N484" s="39"/>
      <c r="O484" s="39"/>
      <c r="P484" s="21"/>
      <c r="Q484" s="21"/>
      <c r="R484" s="40"/>
      <c r="S484" s="22">
        <f t="shared" si="34"/>
        <v>0</v>
      </c>
      <c r="T484" s="22">
        <f>COUNTIF($V$4:V484,V484)</f>
        <v>213</v>
      </c>
      <c r="U484" s="22" t="str">
        <f>IF(T484=1,COUNTIF($T$4:T484,1),"")</f>
        <v/>
      </c>
      <c r="V484" s="23" t="str">
        <f t="shared" si="35"/>
        <v/>
      </c>
      <c r="W484" s="23">
        <f t="shared" si="33"/>
        <v>0</v>
      </c>
      <c r="X484" s="24"/>
      <c r="Y484" s="23"/>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c r="EB484" s="9"/>
      <c r="EC484" s="9"/>
      <c r="ED484" s="9"/>
      <c r="EE484" s="9"/>
      <c r="EF484" s="9"/>
      <c r="EG484" s="9"/>
      <c r="EH484" s="9"/>
      <c r="EI484" s="9"/>
      <c r="EJ484" s="9"/>
      <c r="EK484" s="9"/>
      <c r="EL484" s="9"/>
      <c r="EM484" s="9"/>
      <c r="EN484" s="9"/>
      <c r="EO484" s="9"/>
      <c r="EP484" s="9"/>
      <c r="EQ484" s="9"/>
      <c r="ER484" s="9"/>
      <c r="ES484" s="9"/>
      <c r="ET484" s="9"/>
      <c r="EU484" s="9"/>
      <c r="EV484" s="9"/>
      <c r="EW484" s="9"/>
      <c r="EX484" s="9"/>
      <c r="EY484" s="9"/>
      <c r="EZ484" s="9"/>
      <c r="FA484" s="9"/>
      <c r="FB484" s="9"/>
      <c r="FC484" s="9"/>
      <c r="FD484" s="9"/>
      <c r="FE484" s="9"/>
      <c r="FF484" s="9"/>
      <c r="FG484" s="9"/>
      <c r="FH484" s="9"/>
      <c r="FI484" s="9"/>
      <c r="FJ484" s="9"/>
      <c r="FK484" s="9"/>
      <c r="FL484" s="9"/>
      <c r="FM484" s="9"/>
      <c r="FN484" s="9"/>
      <c r="FO484" s="9"/>
      <c r="FP484" s="9"/>
      <c r="FQ484" s="9"/>
      <c r="FR484" s="9"/>
      <c r="FS484" s="9"/>
      <c r="FT484" s="9"/>
      <c r="FU484" s="9"/>
      <c r="FV484" s="9"/>
      <c r="FW484" s="9"/>
      <c r="FX484" s="9"/>
      <c r="FY484" s="9"/>
      <c r="FZ484" s="9"/>
      <c r="GA484" s="9"/>
      <c r="GB484" s="9"/>
      <c r="GC484" s="9"/>
      <c r="GD484" s="9"/>
      <c r="GE484" s="9"/>
      <c r="GF484" s="9"/>
      <c r="GG484" s="9"/>
      <c r="GH484" s="9"/>
      <c r="GI484" s="9"/>
      <c r="GJ484" s="9"/>
      <c r="GK484" s="9"/>
      <c r="GL484" s="9"/>
      <c r="GM484" s="9"/>
      <c r="GN484" s="9"/>
      <c r="GO484" s="9"/>
      <c r="GP484" s="9"/>
      <c r="GQ484" s="9"/>
      <c r="GR484" s="9"/>
      <c r="GS484" s="9"/>
      <c r="GT484" s="9"/>
      <c r="GU484" s="9"/>
      <c r="GV484" s="9"/>
      <c r="GW484" s="9"/>
      <c r="GX484" s="9"/>
      <c r="GY484" s="9"/>
      <c r="GZ484" s="9"/>
      <c r="HA484" s="9"/>
      <c r="HB484" s="9"/>
      <c r="HC484" s="9"/>
      <c r="HD484" s="9"/>
      <c r="HE484" s="9"/>
      <c r="HF484" s="9"/>
      <c r="HG484" s="9"/>
      <c r="HH484" s="9"/>
      <c r="HI484" s="9"/>
      <c r="HJ484" s="9"/>
      <c r="HK484" s="9"/>
      <c r="HL484" s="9"/>
      <c r="HM484" s="9"/>
      <c r="HN484" s="9"/>
      <c r="HO484" s="9"/>
      <c r="HP484" s="9"/>
      <c r="HQ484" s="9"/>
      <c r="HR484" s="9"/>
      <c r="HS484" s="9"/>
      <c r="HT484" s="9"/>
      <c r="HU484" s="9"/>
      <c r="HV484" s="9"/>
      <c r="HW484" s="9"/>
      <c r="HX484" s="9"/>
      <c r="HY484" s="9"/>
      <c r="HZ484" s="9"/>
      <c r="IA484" s="9"/>
      <c r="IB484" s="9"/>
      <c r="IC484" s="9"/>
      <c r="ID484" s="9"/>
      <c r="IE484" s="9"/>
      <c r="IF484" s="9"/>
      <c r="IG484" s="9"/>
      <c r="IH484" s="9"/>
      <c r="II484" s="9"/>
      <c r="IJ484" s="9"/>
      <c r="IK484" s="9"/>
      <c r="IL484" s="9"/>
      <c r="IM484" s="9"/>
      <c r="IN484" s="9"/>
      <c r="IO484" s="9"/>
      <c r="IP484" s="9"/>
      <c r="IQ484" s="9"/>
      <c r="IR484" s="9"/>
      <c r="IS484" s="9"/>
      <c r="IT484" s="9"/>
      <c r="IU484" s="9"/>
      <c r="IV484" s="9"/>
    </row>
    <row r="485" spans="1:256" outlineLevel="1">
      <c r="A485" s="16"/>
      <c r="B485" s="44"/>
      <c r="C485" s="20"/>
      <c r="D485" s="20"/>
      <c r="E485" s="20"/>
      <c r="F485" s="21"/>
      <c r="G485" s="21"/>
      <c r="H485" s="21"/>
      <c r="I485" s="21"/>
      <c r="J485" s="20"/>
      <c r="K485" s="21"/>
      <c r="L485" s="21"/>
      <c r="M485" s="21"/>
      <c r="N485" s="21"/>
      <c r="O485" s="21"/>
      <c r="P485" s="21"/>
      <c r="Q485" s="21"/>
      <c r="R485" s="20"/>
      <c r="S485" s="22">
        <f t="shared" si="34"/>
        <v>0</v>
      </c>
      <c r="T485" s="22">
        <f>COUNTIF($V$4:V485,V485)</f>
        <v>214</v>
      </c>
      <c r="U485" s="22" t="str">
        <f>IF(T485=1,COUNTIF($T$4:T485,1),"")</f>
        <v/>
      </c>
      <c r="V485" s="23" t="str">
        <f t="shared" si="35"/>
        <v/>
      </c>
      <c r="W485" s="23">
        <f t="shared" si="33"/>
        <v>0</v>
      </c>
      <c r="X485" s="24"/>
      <c r="Y485" s="23"/>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c r="EB485" s="9"/>
      <c r="EC485" s="9"/>
      <c r="ED485" s="9"/>
      <c r="EE485" s="9"/>
      <c r="EF485" s="9"/>
      <c r="EG485" s="9"/>
      <c r="EH485" s="9"/>
      <c r="EI485" s="9"/>
      <c r="EJ485" s="9"/>
      <c r="EK485" s="9"/>
      <c r="EL485" s="9"/>
      <c r="EM485" s="9"/>
      <c r="EN485" s="9"/>
      <c r="EO485" s="9"/>
      <c r="EP485" s="9"/>
      <c r="EQ485" s="9"/>
      <c r="ER485" s="9"/>
      <c r="ES485" s="9"/>
      <c r="ET485" s="9"/>
      <c r="EU485" s="9"/>
      <c r="EV485" s="9"/>
      <c r="EW485" s="9"/>
      <c r="EX485" s="9"/>
      <c r="EY485" s="9"/>
      <c r="EZ485" s="9"/>
      <c r="FA485" s="9"/>
      <c r="FB485" s="9"/>
      <c r="FC485" s="9"/>
      <c r="FD485" s="9"/>
      <c r="FE485" s="9"/>
      <c r="FF485" s="9"/>
      <c r="FG485" s="9"/>
      <c r="FH485" s="9"/>
      <c r="FI485" s="9"/>
      <c r="FJ485" s="9"/>
      <c r="FK485" s="9"/>
      <c r="FL485" s="9"/>
      <c r="FM485" s="9"/>
      <c r="FN485" s="9"/>
      <c r="FO485" s="9"/>
      <c r="FP485" s="9"/>
      <c r="FQ485" s="9"/>
      <c r="FR485" s="9"/>
      <c r="FS485" s="9"/>
      <c r="FT485" s="9"/>
      <c r="FU485" s="9"/>
      <c r="FV485" s="9"/>
      <c r="FW485" s="9"/>
      <c r="FX485" s="9"/>
      <c r="FY485" s="9"/>
      <c r="FZ485" s="9"/>
      <c r="GA485" s="9"/>
      <c r="GB485" s="9"/>
      <c r="GC485" s="9"/>
      <c r="GD485" s="9"/>
      <c r="GE485" s="9"/>
      <c r="GF485" s="9"/>
      <c r="GG485" s="9"/>
      <c r="GH485" s="9"/>
      <c r="GI485" s="9"/>
      <c r="GJ485" s="9"/>
      <c r="GK485" s="9"/>
      <c r="GL485" s="9"/>
      <c r="GM485" s="9"/>
      <c r="GN485" s="9"/>
      <c r="GO485" s="9"/>
      <c r="GP485" s="9"/>
      <c r="GQ485" s="9"/>
      <c r="GR485" s="9"/>
      <c r="GS485" s="9"/>
      <c r="GT485" s="9"/>
      <c r="GU485" s="9"/>
      <c r="GV485" s="9"/>
      <c r="GW485" s="9"/>
      <c r="GX485" s="9"/>
      <c r="GY485" s="9"/>
      <c r="GZ485" s="9"/>
      <c r="HA485" s="9"/>
      <c r="HB485" s="9"/>
      <c r="HC485" s="9"/>
      <c r="HD485" s="9"/>
      <c r="HE485" s="9"/>
      <c r="HF485" s="9"/>
      <c r="HG485" s="9"/>
      <c r="HH485" s="9"/>
      <c r="HI485" s="9"/>
      <c r="HJ485" s="9"/>
      <c r="HK485" s="9"/>
      <c r="HL485" s="9"/>
      <c r="HM485" s="9"/>
      <c r="HN485" s="9"/>
      <c r="HO485" s="9"/>
      <c r="HP485" s="9"/>
      <c r="HQ485" s="9"/>
      <c r="HR485" s="9"/>
      <c r="HS485" s="9"/>
      <c r="HT485" s="9"/>
      <c r="HU485" s="9"/>
      <c r="HV485" s="9"/>
      <c r="HW485" s="9"/>
      <c r="HX485" s="9"/>
      <c r="HY485" s="9"/>
      <c r="HZ485" s="9"/>
      <c r="IA485" s="9"/>
      <c r="IB485" s="9"/>
      <c r="IC485" s="9"/>
      <c r="ID485" s="9"/>
      <c r="IE485" s="9"/>
      <c r="IF485" s="9"/>
      <c r="IG485" s="9"/>
      <c r="IH485" s="9"/>
      <c r="II485" s="9"/>
      <c r="IJ485" s="9"/>
      <c r="IK485" s="9"/>
      <c r="IL485" s="9"/>
      <c r="IM485" s="9"/>
      <c r="IN485" s="9"/>
      <c r="IO485" s="9"/>
      <c r="IP485" s="9"/>
      <c r="IQ485" s="9"/>
      <c r="IR485" s="9"/>
      <c r="IS485" s="9"/>
      <c r="IT485" s="9"/>
      <c r="IU485" s="9"/>
      <c r="IV485" s="9"/>
    </row>
    <row r="486" spans="1:256" outlineLevel="1">
      <c r="A486" s="16"/>
      <c r="B486" s="44"/>
      <c r="C486" s="20"/>
      <c r="D486" s="20"/>
      <c r="E486" s="20"/>
      <c r="F486" s="21"/>
      <c r="G486" s="21"/>
      <c r="H486" s="21"/>
      <c r="I486" s="21"/>
      <c r="J486" s="20"/>
      <c r="K486" s="21"/>
      <c r="L486" s="21"/>
      <c r="M486" s="21"/>
      <c r="N486" s="21"/>
      <c r="O486" s="21"/>
      <c r="P486" s="21"/>
      <c r="Q486" s="21"/>
      <c r="R486" s="20"/>
      <c r="S486" s="22">
        <f t="shared" si="34"/>
        <v>0</v>
      </c>
      <c r="T486" s="22">
        <f>COUNTIF($V$4:V486,V486)</f>
        <v>215</v>
      </c>
      <c r="U486" s="22" t="str">
        <f>IF(T486=1,COUNTIF($T$4:T486,1),"")</f>
        <v/>
      </c>
      <c r="V486" s="23" t="str">
        <f t="shared" si="35"/>
        <v/>
      </c>
      <c r="W486" s="23">
        <f t="shared" si="33"/>
        <v>0</v>
      </c>
      <c r="X486" s="24"/>
      <c r="Y486" s="23"/>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c r="EV486" s="9"/>
      <c r="EW486" s="9"/>
      <c r="EX486" s="9"/>
      <c r="EY486" s="9"/>
      <c r="EZ486" s="9"/>
      <c r="FA486" s="9"/>
      <c r="FB486" s="9"/>
      <c r="FC486" s="9"/>
      <c r="FD486" s="9"/>
      <c r="FE486" s="9"/>
      <c r="FF486" s="9"/>
      <c r="FG486" s="9"/>
      <c r="FH486" s="9"/>
      <c r="FI486" s="9"/>
      <c r="FJ486" s="9"/>
      <c r="FK486" s="9"/>
      <c r="FL486" s="9"/>
      <c r="FM486" s="9"/>
      <c r="FN486" s="9"/>
      <c r="FO486" s="9"/>
      <c r="FP486" s="9"/>
      <c r="FQ486" s="9"/>
      <c r="FR486" s="9"/>
      <c r="FS486" s="9"/>
      <c r="FT486" s="9"/>
      <c r="FU486" s="9"/>
      <c r="FV486" s="9"/>
      <c r="FW486" s="9"/>
      <c r="FX486" s="9"/>
      <c r="FY486" s="9"/>
      <c r="FZ486" s="9"/>
      <c r="GA486" s="9"/>
      <c r="GB486" s="9"/>
      <c r="GC486" s="9"/>
      <c r="GD486" s="9"/>
      <c r="GE486" s="9"/>
      <c r="GF486" s="9"/>
      <c r="GG486" s="9"/>
      <c r="GH486" s="9"/>
      <c r="GI486" s="9"/>
      <c r="GJ486" s="9"/>
      <c r="GK486" s="9"/>
      <c r="GL486" s="9"/>
      <c r="GM486" s="9"/>
      <c r="GN486" s="9"/>
      <c r="GO486" s="9"/>
      <c r="GP486" s="9"/>
      <c r="GQ486" s="9"/>
      <c r="GR486" s="9"/>
      <c r="GS486" s="9"/>
      <c r="GT486" s="9"/>
      <c r="GU486" s="9"/>
      <c r="GV486" s="9"/>
      <c r="GW486" s="9"/>
      <c r="GX486" s="9"/>
      <c r="GY486" s="9"/>
      <c r="GZ486" s="9"/>
      <c r="HA486" s="9"/>
      <c r="HB486" s="9"/>
      <c r="HC486" s="9"/>
      <c r="HD486" s="9"/>
      <c r="HE486" s="9"/>
      <c r="HF486" s="9"/>
      <c r="HG486" s="9"/>
      <c r="HH486" s="9"/>
      <c r="HI486" s="9"/>
      <c r="HJ486" s="9"/>
      <c r="HK486" s="9"/>
      <c r="HL486" s="9"/>
      <c r="HM486" s="9"/>
      <c r="HN486" s="9"/>
      <c r="HO486" s="9"/>
      <c r="HP486" s="9"/>
      <c r="HQ486" s="9"/>
      <c r="HR486" s="9"/>
      <c r="HS486" s="9"/>
      <c r="HT486" s="9"/>
      <c r="HU486" s="9"/>
      <c r="HV486" s="9"/>
      <c r="HW486" s="9"/>
      <c r="HX486" s="9"/>
      <c r="HY486" s="9"/>
      <c r="HZ486" s="9"/>
      <c r="IA486" s="9"/>
      <c r="IB486" s="9"/>
      <c r="IC486" s="9"/>
      <c r="ID486" s="9"/>
      <c r="IE486" s="9"/>
      <c r="IF486" s="9"/>
      <c r="IG486" s="9"/>
      <c r="IH486" s="9"/>
      <c r="II486" s="9"/>
      <c r="IJ486" s="9"/>
      <c r="IK486" s="9"/>
      <c r="IL486" s="9"/>
      <c r="IM486" s="9"/>
      <c r="IN486" s="9"/>
      <c r="IO486" s="9"/>
      <c r="IP486" s="9"/>
      <c r="IQ486" s="9"/>
      <c r="IR486" s="9"/>
      <c r="IS486" s="9"/>
      <c r="IT486" s="9"/>
      <c r="IU486" s="9"/>
      <c r="IV486" s="9"/>
    </row>
    <row r="487" spans="1:256" outlineLevel="1">
      <c r="A487" s="16"/>
      <c r="B487" s="44"/>
      <c r="C487" s="20"/>
      <c r="D487" s="20"/>
      <c r="E487" s="20"/>
      <c r="F487" s="21"/>
      <c r="G487" s="21"/>
      <c r="H487" s="21"/>
      <c r="I487" s="21"/>
      <c r="J487" s="20"/>
      <c r="K487" s="21"/>
      <c r="L487" s="21"/>
      <c r="M487" s="21"/>
      <c r="N487" s="21"/>
      <c r="O487" s="21"/>
      <c r="P487" s="21"/>
      <c r="Q487" s="21"/>
      <c r="R487" s="20"/>
      <c r="S487" s="22">
        <f t="shared" si="34"/>
        <v>0</v>
      </c>
      <c r="T487" s="22">
        <f>COUNTIF($V$4:V487,V487)</f>
        <v>216</v>
      </c>
      <c r="U487" s="22" t="str">
        <f>IF(T487=1,COUNTIF($T$4:T487,1),"")</f>
        <v/>
      </c>
      <c r="V487" s="23" t="str">
        <f t="shared" si="35"/>
        <v/>
      </c>
      <c r="W487" s="23">
        <f t="shared" si="33"/>
        <v>0</v>
      </c>
      <c r="X487" s="24"/>
      <c r="Y487" s="23"/>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c r="EV487" s="9"/>
      <c r="EW487" s="9"/>
      <c r="EX487" s="9"/>
      <c r="EY487" s="9"/>
      <c r="EZ487" s="9"/>
      <c r="FA487" s="9"/>
      <c r="FB487" s="9"/>
      <c r="FC487" s="9"/>
      <c r="FD487" s="9"/>
      <c r="FE487" s="9"/>
      <c r="FF487" s="9"/>
      <c r="FG487" s="9"/>
      <c r="FH487" s="9"/>
      <c r="FI487" s="9"/>
      <c r="FJ487" s="9"/>
      <c r="FK487" s="9"/>
      <c r="FL487" s="9"/>
      <c r="FM487" s="9"/>
      <c r="FN487" s="9"/>
      <c r="FO487" s="9"/>
      <c r="FP487" s="9"/>
      <c r="FQ487" s="9"/>
      <c r="FR487" s="9"/>
      <c r="FS487" s="9"/>
      <c r="FT487" s="9"/>
      <c r="FU487" s="9"/>
      <c r="FV487" s="9"/>
      <c r="FW487" s="9"/>
      <c r="FX487" s="9"/>
      <c r="FY487" s="9"/>
      <c r="FZ487" s="9"/>
      <c r="GA487" s="9"/>
      <c r="GB487" s="9"/>
      <c r="GC487" s="9"/>
      <c r="GD487" s="9"/>
      <c r="GE487" s="9"/>
      <c r="GF487" s="9"/>
      <c r="GG487" s="9"/>
      <c r="GH487" s="9"/>
      <c r="GI487" s="9"/>
      <c r="GJ487" s="9"/>
      <c r="GK487" s="9"/>
      <c r="GL487" s="9"/>
      <c r="GM487" s="9"/>
      <c r="GN487" s="9"/>
      <c r="GO487" s="9"/>
      <c r="GP487" s="9"/>
      <c r="GQ487" s="9"/>
      <c r="GR487" s="9"/>
      <c r="GS487" s="9"/>
      <c r="GT487" s="9"/>
      <c r="GU487" s="9"/>
      <c r="GV487" s="9"/>
      <c r="GW487" s="9"/>
      <c r="GX487" s="9"/>
      <c r="GY487" s="9"/>
      <c r="GZ487" s="9"/>
      <c r="HA487" s="9"/>
      <c r="HB487" s="9"/>
      <c r="HC487" s="9"/>
      <c r="HD487" s="9"/>
      <c r="HE487" s="9"/>
      <c r="HF487" s="9"/>
      <c r="HG487" s="9"/>
      <c r="HH487" s="9"/>
      <c r="HI487" s="9"/>
      <c r="HJ487" s="9"/>
      <c r="HK487" s="9"/>
      <c r="HL487" s="9"/>
      <c r="HM487" s="9"/>
      <c r="HN487" s="9"/>
      <c r="HO487" s="9"/>
      <c r="HP487" s="9"/>
      <c r="HQ487" s="9"/>
      <c r="HR487" s="9"/>
      <c r="HS487" s="9"/>
      <c r="HT487" s="9"/>
      <c r="HU487" s="9"/>
      <c r="HV487" s="9"/>
      <c r="HW487" s="9"/>
      <c r="HX487" s="9"/>
      <c r="HY487" s="9"/>
      <c r="HZ487" s="9"/>
      <c r="IA487" s="9"/>
      <c r="IB487" s="9"/>
      <c r="IC487" s="9"/>
      <c r="ID487" s="9"/>
      <c r="IE487" s="9"/>
      <c r="IF487" s="9"/>
      <c r="IG487" s="9"/>
      <c r="IH487" s="9"/>
      <c r="II487" s="9"/>
      <c r="IJ487" s="9"/>
      <c r="IK487" s="9"/>
      <c r="IL487" s="9"/>
      <c r="IM487" s="9"/>
      <c r="IN487" s="9"/>
      <c r="IO487" s="9"/>
      <c r="IP487" s="9"/>
      <c r="IQ487" s="9"/>
      <c r="IR487" s="9"/>
      <c r="IS487" s="9"/>
      <c r="IT487" s="9"/>
      <c r="IU487" s="9"/>
      <c r="IV487" s="9"/>
    </row>
    <row r="488" spans="1:256" outlineLevel="1">
      <c r="A488" s="16"/>
      <c r="B488" s="44"/>
      <c r="C488" s="20"/>
      <c r="D488" s="20"/>
      <c r="E488" s="20"/>
      <c r="F488" s="21"/>
      <c r="G488" s="21"/>
      <c r="H488" s="21"/>
      <c r="I488" s="21"/>
      <c r="J488" s="20"/>
      <c r="K488" s="21"/>
      <c r="L488" s="21"/>
      <c r="M488" s="21"/>
      <c r="N488" s="21"/>
      <c r="O488" s="21"/>
      <c r="P488" s="21"/>
      <c r="Q488" s="21"/>
      <c r="R488" s="20"/>
      <c r="S488" s="22">
        <f t="shared" si="34"/>
        <v>0</v>
      </c>
      <c r="T488" s="22">
        <f>COUNTIF($V$4:V488,V488)</f>
        <v>217</v>
      </c>
      <c r="U488" s="22" t="str">
        <f>IF(T488=1,COUNTIF($T$4:T488,1),"")</f>
        <v/>
      </c>
      <c r="V488" s="23" t="str">
        <f t="shared" si="35"/>
        <v/>
      </c>
      <c r="W488" s="23">
        <f t="shared" si="33"/>
        <v>0</v>
      </c>
      <c r="X488" s="24"/>
      <c r="Y488" s="23"/>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c r="EV488" s="9"/>
      <c r="EW488" s="9"/>
      <c r="EX488" s="9"/>
      <c r="EY488" s="9"/>
      <c r="EZ488" s="9"/>
      <c r="FA488" s="9"/>
      <c r="FB488" s="9"/>
      <c r="FC488" s="9"/>
      <c r="FD488" s="9"/>
      <c r="FE488" s="9"/>
      <c r="FF488" s="9"/>
      <c r="FG488" s="9"/>
      <c r="FH488" s="9"/>
      <c r="FI488" s="9"/>
      <c r="FJ488" s="9"/>
      <c r="FK488" s="9"/>
      <c r="FL488" s="9"/>
      <c r="FM488" s="9"/>
      <c r="FN488" s="9"/>
      <c r="FO488" s="9"/>
      <c r="FP488" s="9"/>
      <c r="FQ488" s="9"/>
      <c r="FR488" s="9"/>
      <c r="FS488" s="9"/>
      <c r="FT488" s="9"/>
      <c r="FU488" s="9"/>
      <c r="FV488" s="9"/>
      <c r="FW488" s="9"/>
      <c r="FX488" s="9"/>
      <c r="FY488" s="9"/>
      <c r="FZ488" s="9"/>
      <c r="GA488" s="9"/>
      <c r="GB488" s="9"/>
      <c r="GC488" s="9"/>
      <c r="GD488" s="9"/>
      <c r="GE488" s="9"/>
      <c r="GF488" s="9"/>
      <c r="GG488" s="9"/>
      <c r="GH488" s="9"/>
      <c r="GI488" s="9"/>
      <c r="GJ488" s="9"/>
      <c r="GK488" s="9"/>
      <c r="GL488" s="9"/>
      <c r="GM488" s="9"/>
      <c r="GN488" s="9"/>
      <c r="GO488" s="9"/>
      <c r="GP488" s="9"/>
      <c r="GQ488" s="9"/>
      <c r="GR488" s="9"/>
      <c r="GS488" s="9"/>
      <c r="GT488" s="9"/>
      <c r="GU488" s="9"/>
      <c r="GV488" s="9"/>
      <c r="GW488" s="9"/>
      <c r="GX488" s="9"/>
      <c r="GY488" s="9"/>
      <c r="GZ488" s="9"/>
      <c r="HA488" s="9"/>
      <c r="HB488" s="9"/>
      <c r="HC488" s="9"/>
      <c r="HD488" s="9"/>
      <c r="HE488" s="9"/>
      <c r="HF488" s="9"/>
      <c r="HG488" s="9"/>
      <c r="HH488" s="9"/>
      <c r="HI488" s="9"/>
      <c r="HJ488" s="9"/>
      <c r="HK488" s="9"/>
      <c r="HL488" s="9"/>
      <c r="HM488" s="9"/>
      <c r="HN488" s="9"/>
      <c r="HO488" s="9"/>
      <c r="HP488" s="9"/>
      <c r="HQ488" s="9"/>
      <c r="HR488" s="9"/>
      <c r="HS488" s="9"/>
      <c r="HT488" s="9"/>
      <c r="HU488" s="9"/>
      <c r="HV488" s="9"/>
      <c r="HW488" s="9"/>
      <c r="HX488" s="9"/>
      <c r="HY488" s="9"/>
      <c r="HZ488" s="9"/>
      <c r="IA488" s="9"/>
      <c r="IB488" s="9"/>
      <c r="IC488" s="9"/>
      <c r="ID488" s="9"/>
      <c r="IE488" s="9"/>
      <c r="IF488" s="9"/>
      <c r="IG488" s="9"/>
      <c r="IH488" s="9"/>
      <c r="II488" s="9"/>
      <c r="IJ488" s="9"/>
      <c r="IK488" s="9"/>
      <c r="IL488" s="9"/>
      <c r="IM488" s="9"/>
      <c r="IN488" s="9"/>
      <c r="IO488" s="9"/>
      <c r="IP488" s="9"/>
      <c r="IQ488" s="9"/>
      <c r="IR488" s="9"/>
      <c r="IS488" s="9"/>
      <c r="IT488" s="9"/>
      <c r="IU488" s="9"/>
      <c r="IV488" s="9"/>
    </row>
    <row r="489" spans="1:256" outlineLevel="1">
      <c r="A489" s="16"/>
      <c r="B489" s="44"/>
      <c r="C489" s="20"/>
      <c r="D489" s="20"/>
      <c r="E489" s="20"/>
      <c r="F489" s="21"/>
      <c r="G489" s="21"/>
      <c r="H489" s="21"/>
      <c r="I489" s="21"/>
      <c r="J489" s="20"/>
      <c r="K489" s="21"/>
      <c r="L489" s="21"/>
      <c r="M489" s="21"/>
      <c r="N489" s="21"/>
      <c r="O489" s="21"/>
      <c r="P489" s="21"/>
      <c r="Q489" s="21"/>
      <c r="R489" s="20"/>
      <c r="S489" s="22">
        <f t="shared" si="34"/>
        <v>0</v>
      </c>
      <c r="T489" s="22">
        <f>COUNTIF($V$4:V489,V489)</f>
        <v>218</v>
      </c>
      <c r="U489" s="22" t="str">
        <f>IF(T489=1,COUNTIF($T$4:T489,1),"")</f>
        <v/>
      </c>
      <c r="V489" s="23" t="str">
        <f t="shared" si="35"/>
        <v/>
      </c>
      <c r="W489" s="23">
        <f t="shared" si="33"/>
        <v>0</v>
      </c>
      <c r="X489" s="24"/>
      <c r="Y489" s="23"/>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c r="EV489" s="9"/>
      <c r="EW489" s="9"/>
      <c r="EX489" s="9"/>
      <c r="EY489" s="9"/>
      <c r="EZ489" s="9"/>
      <c r="FA489" s="9"/>
      <c r="FB489" s="9"/>
      <c r="FC489" s="9"/>
      <c r="FD489" s="9"/>
      <c r="FE489" s="9"/>
      <c r="FF489" s="9"/>
      <c r="FG489" s="9"/>
      <c r="FH489" s="9"/>
      <c r="FI489" s="9"/>
      <c r="FJ489" s="9"/>
      <c r="FK489" s="9"/>
      <c r="FL489" s="9"/>
      <c r="FM489" s="9"/>
      <c r="FN489" s="9"/>
      <c r="FO489" s="9"/>
      <c r="FP489" s="9"/>
      <c r="FQ489" s="9"/>
      <c r="FR489" s="9"/>
      <c r="FS489" s="9"/>
      <c r="FT489" s="9"/>
      <c r="FU489" s="9"/>
      <c r="FV489" s="9"/>
      <c r="FW489" s="9"/>
      <c r="FX489" s="9"/>
      <c r="FY489" s="9"/>
      <c r="FZ489" s="9"/>
      <c r="GA489" s="9"/>
      <c r="GB489" s="9"/>
      <c r="GC489" s="9"/>
      <c r="GD489" s="9"/>
      <c r="GE489" s="9"/>
      <c r="GF489" s="9"/>
      <c r="GG489" s="9"/>
      <c r="GH489" s="9"/>
      <c r="GI489" s="9"/>
      <c r="GJ489" s="9"/>
      <c r="GK489" s="9"/>
      <c r="GL489" s="9"/>
      <c r="GM489" s="9"/>
      <c r="GN489" s="9"/>
      <c r="GO489" s="9"/>
      <c r="GP489" s="9"/>
      <c r="GQ489" s="9"/>
      <c r="GR489" s="9"/>
      <c r="GS489" s="9"/>
      <c r="GT489" s="9"/>
      <c r="GU489" s="9"/>
      <c r="GV489" s="9"/>
      <c r="GW489" s="9"/>
      <c r="GX489" s="9"/>
      <c r="GY489" s="9"/>
      <c r="GZ489" s="9"/>
      <c r="HA489" s="9"/>
      <c r="HB489" s="9"/>
      <c r="HC489" s="9"/>
      <c r="HD489" s="9"/>
      <c r="HE489" s="9"/>
      <c r="HF489" s="9"/>
      <c r="HG489" s="9"/>
      <c r="HH489" s="9"/>
      <c r="HI489" s="9"/>
      <c r="HJ489" s="9"/>
      <c r="HK489" s="9"/>
      <c r="HL489" s="9"/>
      <c r="HM489" s="9"/>
      <c r="HN489" s="9"/>
      <c r="HO489" s="9"/>
      <c r="HP489" s="9"/>
      <c r="HQ489" s="9"/>
      <c r="HR489" s="9"/>
      <c r="HS489" s="9"/>
      <c r="HT489" s="9"/>
      <c r="HU489" s="9"/>
      <c r="HV489" s="9"/>
      <c r="HW489" s="9"/>
      <c r="HX489" s="9"/>
      <c r="HY489" s="9"/>
      <c r="HZ489" s="9"/>
      <c r="IA489" s="9"/>
      <c r="IB489" s="9"/>
      <c r="IC489" s="9"/>
      <c r="ID489" s="9"/>
      <c r="IE489" s="9"/>
      <c r="IF489" s="9"/>
      <c r="IG489" s="9"/>
      <c r="IH489" s="9"/>
      <c r="II489" s="9"/>
      <c r="IJ489" s="9"/>
      <c r="IK489" s="9"/>
      <c r="IL489" s="9"/>
      <c r="IM489" s="9"/>
      <c r="IN489" s="9"/>
      <c r="IO489" s="9"/>
      <c r="IP489" s="9"/>
      <c r="IQ489" s="9"/>
      <c r="IR489" s="9"/>
      <c r="IS489" s="9"/>
      <c r="IT489" s="9"/>
      <c r="IU489" s="9"/>
      <c r="IV489" s="9"/>
    </row>
    <row r="490" spans="1:256" outlineLevel="1">
      <c r="A490" s="16"/>
      <c r="B490" s="44"/>
      <c r="C490" s="20"/>
      <c r="D490" s="20"/>
      <c r="E490" s="20"/>
      <c r="F490" s="21"/>
      <c r="G490" s="21"/>
      <c r="H490" s="21"/>
      <c r="I490" s="21"/>
      <c r="J490" s="20"/>
      <c r="K490" s="21"/>
      <c r="L490" s="21"/>
      <c r="M490" s="21"/>
      <c r="N490" s="21"/>
      <c r="O490" s="21"/>
      <c r="P490" s="21"/>
      <c r="Q490" s="21"/>
      <c r="R490" s="20"/>
      <c r="S490" s="22">
        <f t="shared" si="34"/>
        <v>0</v>
      </c>
      <c r="T490" s="22">
        <f>COUNTIF($V$4:V490,V490)</f>
        <v>219</v>
      </c>
      <c r="U490" s="22" t="str">
        <f>IF(T490=1,COUNTIF($T$4:T490,1),"")</f>
        <v/>
      </c>
      <c r="V490" s="23" t="str">
        <f t="shared" si="35"/>
        <v/>
      </c>
      <c r="W490" s="23">
        <f t="shared" si="33"/>
        <v>0</v>
      </c>
      <c r="X490" s="24"/>
      <c r="Y490" s="23"/>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c r="EV490" s="9"/>
      <c r="EW490" s="9"/>
      <c r="EX490" s="9"/>
      <c r="EY490" s="9"/>
      <c r="EZ490" s="9"/>
      <c r="FA490" s="9"/>
      <c r="FB490" s="9"/>
      <c r="FC490" s="9"/>
      <c r="FD490" s="9"/>
      <c r="FE490" s="9"/>
      <c r="FF490" s="9"/>
      <c r="FG490" s="9"/>
      <c r="FH490" s="9"/>
      <c r="FI490" s="9"/>
      <c r="FJ490" s="9"/>
      <c r="FK490" s="9"/>
      <c r="FL490" s="9"/>
      <c r="FM490" s="9"/>
      <c r="FN490" s="9"/>
      <c r="FO490" s="9"/>
      <c r="FP490" s="9"/>
      <c r="FQ490" s="9"/>
      <c r="FR490" s="9"/>
      <c r="FS490" s="9"/>
      <c r="FT490" s="9"/>
      <c r="FU490" s="9"/>
      <c r="FV490" s="9"/>
      <c r="FW490" s="9"/>
      <c r="FX490" s="9"/>
      <c r="FY490" s="9"/>
      <c r="FZ490" s="9"/>
      <c r="GA490" s="9"/>
      <c r="GB490" s="9"/>
      <c r="GC490" s="9"/>
      <c r="GD490" s="9"/>
      <c r="GE490" s="9"/>
      <c r="GF490" s="9"/>
      <c r="GG490" s="9"/>
      <c r="GH490" s="9"/>
      <c r="GI490" s="9"/>
      <c r="GJ490" s="9"/>
      <c r="GK490" s="9"/>
      <c r="GL490" s="9"/>
      <c r="GM490" s="9"/>
      <c r="GN490" s="9"/>
      <c r="GO490" s="9"/>
      <c r="GP490" s="9"/>
      <c r="GQ490" s="9"/>
      <c r="GR490" s="9"/>
      <c r="GS490" s="9"/>
      <c r="GT490" s="9"/>
      <c r="GU490" s="9"/>
      <c r="GV490" s="9"/>
      <c r="GW490" s="9"/>
      <c r="GX490" s="9"/>
      <c r="GY490" s="9"/>
      <c r="GZ490" s="9"/>
      <c r="HA490" s="9"/>
      <c r="HB490" s="9"/>
      <c r="HC490" s="9"/>
      <c r="HD490" s="9"/>
      <c r="HE490" s="9"/>
      <c r="HF490" s="9"/>
      <c r="HG490" s="9"/>
      <c r="HH490" s="9"/>
      <c r="HI490" s="9"/>
      <c r="HJ490" s="9"/>
      <c r="HK490" s="9"/>
      <c r="HL490" s="9"/>
      <c r="HM490" s="9"/>
      <c r="HN490" s="9"/>
      <c r="HO490" s="9"/>
      <c r="HP490" s="9"/>
      <c r="HQ490" s="9"/>
      <c r="HR490" s="9"/>
      <c r="HS490" s="9"/>
      <c r="HT490" s="9"/>
      <c r="HU490" s="9"/>
      <c r="HV490" s="9"/>
      <c r="HW490" s="9"/>
      <c r="HX490" s="9"/>
      <c r="HY490" s="9"/>
      <c r="HZ490" s="9"/>
      <c r="IA490" s="9"/>
      <c r="IB490" s="9"/>
      <c r="IC490" s="9"/>
      <c r="ID490" s="9"/>
      <c r="IE490" s="9"/>
      <c r="IF490" s="9"/>
      <c r="IG490" s="9"/>
      <c r="IH490" s="9"/>
      <c r="II490" s="9"/>
      <c r="IJ490" s="9"/>
      <c r="IK490" s="9"/>
      <c r="IL490" s="9"/>
      <c r="IM490" s="9"/>
      <c r="IN490" s="9"/>
      <c r="IO490" s="9"/>
      <c r="IP490" s="9"/>
      <c r="IQ490" s="9"/>
      <c r="IR490" s="9"/>
      <c r="IS490" s="9"/>
      <c r="IT490" s="9"/>
      <c r="IU490" s="9"/>
      <c r="IV490" s="9"/>
    </row>
    <row r="491" spans="1:256" outlineLevel="1">
      <c r="A491" s="16"/>
      <c r="B491" s="44"/>
      <c r="C491" s="20"/>
      <c r="D491" s="20"/>
      <c r="E491" s="20"/>
      <c r="F491" s="21"/>
      <c r="G491" s="21"/>
      <c r="H491" s="21"/>
      <c r="I491" s="21"/>
      <c r="J491" s="20"/>
      <c r="K491" s="21"/>
      <c r="L491" s="21"/>
      <c r="M491" s="21"/>
      <c r="N491" s="21"/>
      <c r="O491" s="21"/>
      <c r="P491" s="21"/>
      <c r="Q491" s="21"/>
      <c r="R491" s="20"/>
      <c r="S491" s="22">
        <f t="shared" si="34"/>
        <v>0</v>
      </c>
      <c r="T491" s="22">
        <f>COUNTIF($V$4:V491,V491)</f>
        <v>220</v>
      </c>
      <c r="U491" s="22" t="str">
        <f>IF(T491=1,COUNTIF($T$4:T491,1),"")</f>
        <v/>
      </c>
      <c r="V491" s="23" t="str">
        <f t="shared" si="35"/>
        <v/>
      </c>
      <c r="W491" s="23">
        <f t="shared" si="33"/>
        <v>0</v>
      </c>
      <c r="X491" s="24"/>
      <c r="Y491" s="23"/>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9"/>
      <c r="HQ491" s="9"/>
      <c r="HR491" s="9"/>
      <c r="HS491" s="9"/>
      <c r="HT491" s="9"/>
      <c r="HU491" s="9"/>
      <c r="HV491" s="9"/>
      <c r="HW491" s="9"/>
      <c r="HX491" s="9"/>
      <c r="HY491" s="9"/>
      <c r="HZ491" s="9"/>
      <c r="IA491" s="9"/>
      <c r="IB491" s="9"/>
      <c r="IC491" s="9"/>
      <c r="ID491" s="9"/>
      <c r="IE491" s="9"/>
      <c r="IF491" s="9"/>
      <c r="IG491" s="9"/>
      <c r="IH491" s="9"/>
      <c r="II491" s="9"/>
      <c r="IJ491" s="9"/>
      <c r="IK491" s="9"/>
      <c r="IL491" s="9"/>
      <c r="IM491" s="9"/>
      <c r="IN491" s="9"/>
      <c r="IO491" s="9"/>
      <c r="IP491" s="9"/>
      <c r="IQ491" s="9"/>
      <c r="IR491" s="9"/>
      <c r="IS491" s="9"/>
      <c r="IT491" s="9"/>
      <c r="IU491" s="9"/>
      <c r="IV491" s="9"/>
    </row>
    <row r="492" spans="1:256" outlineLevel="1">
      <c r="A492" s="16"/>
      <c r="B492" s="44"/>
      <c r="C492" s="20"/>
      <c r="D492" s="20"/>
      <c r="E492" s="20"/>
      <c r="F492" s="21"/>
      <c r="G492" s="21"/>
      <c r="H492" s="21"/>
      <c r="I492" s="21"/>
      <c r="J492" s="20"/>
      <c r="K492" s="21"/>
      <c r="L492" s="21"/>
      <c r="M492" s="21"/>
      <c r="N492" s="21"/>
      <c r="O492" s="21"/>
      <c r="P492" s="21"/>
      <c r="Q492" s="21"/>
      <c r="R492" s="20"/>
      <c r="S492" s="22">
        <f t="shared" si="34"/>
        <v>0</v>
      </c>
      <c r="T492" s="22">
        <f>COUNTIF($V$4:V492,V492)</f>
        <v>221</v>
      </c>
      <c r="U492" s="22" t="str">
        <f>IF(T492=1,COUNTIF($T$4:T492,1),"")</f>
        <v/>
      </c>
      <c r="V492" s="23" t="str">
        <f t="shared" si="35"/>
        <v/>
      </c>
      <c r="W492" s="23">
        <f t="shared" si="33"/>
        <v>0</v>
      </c>
      <c r="X492" s="24"/>
      <c r="Y492" s="23"/>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c r="EV492" s="9"/>
      <c r="EW492" s="9"/>
      <c r="EX492" s="9"/>
      <c r="EY492" s="9"/>
      <c r="EZ492" s="9"/>
      <c r="FA492" s="9"/>
      <c r="FB492" s="9"/>
      <c r="FC492" s="9"/>
      <c r="FD492" s="9"/>
      <c r="FE492" s="9"/>
      <c r="FF492" s="9"/>
      <c r="FG492" s="9"/>
      <c r="FH492" s="9"/>
      <c r="FI492" s="9"/>
      <c r="FJ492" s="9"/>
      <c r="FK492" s="9"/>
      <c r="FL492" s="9"/>
      <c r="FM492" s="9"/>
      <c r="FN492" s="9"/>
      <c r="FO492" s="9"/>
      <c r="FP492" s="9"/>
      <c r="FQ492" s="9"/>
      <c r="FR492" s="9"/>
      <c r="FS492" s="9"/>
      <c r="FT492" s="9"/>
      <c r="FU492" s="9"/>
      <c r="FV492" s="9"/>
      <c r="FW492" s="9"/>
      <c r="FX492" s="9"/>
      <c r="FY492" s="9"/>
      <c r="FZ492" s="9"/>
      <c r="GA492" s="9"/>
      <c r="GB492" s="9"/>
      <c r="GC492" s="9"/>
      <c r="GD492" s="9"/>
      <c r="GE492" s="9"/>
      <c r="GF492" s="9"/>
      <c r="GG492" s="9"/>
      <c r="GH492" s="9"/>
      <c r="GI492" s="9"/>
      <c r="GJ492" s="9"/>
      <c r="GK492" s="9"/>
      <c r="GL492" s="9"/>
      <c r="GM492" s="9"/>
      <c r="GN492" s="9"/>
      <c r="GO492" s="9"/>
      <c r="GP492" s="9"/>
      <c r="GQ492" s="9"/>
      <c r="GR492" s="9"/>
      <c r="GS492" s="9"/>
      <c r="GT492" s="9"/>
      <c r="GU492" s="9"/>
      <c r="GV492" s="9"/>
      <c r="GW492" s="9"/>
      <c r="GX492" s="9"/>
      <c r="GY492" s="9"/>
      <c r="GZ492" s="9"/>
      <c r="HA492" s="9"/>
      <c r="HB492" s="9"/>
      <c r="HC492" s="9"/>
      <c r="HD492" s="9"/>
      <c r="HE492" s="9"/>
      <c r="HF492" s="9"/>
      <c r="HG492" s="9"/>
      <c r="HH492" s="9"/>
      <c r="HI492" s="9"/>
      <c r="HJ492" s="9"/>
      <c r="HK492" s="9"/>
      <c r="HL492" s="9"/>
      <c r="HM492" s="9"/>
      <c r="HN492" s="9"/>
      <c r="HO492" s="9"/>
      <c r="HP492" s="9"/>
      <c r="HQ492" s="9"/>
      <c r="HR492" s="9"/>
      <c r="HS492" s="9"/>
      <c r="HT492" s="9"/>
      <c r="HU492" s="9"/>
      <c r="HV492" s="9"/>
      <c r="HW492" s="9"/>
      <c r="HX492" s="9"/>
      <c r="HY492" s="9"/>
      <c r="HZ492" s="9"/>
      <c r="IA492" s="9"/>
      <c r="IB492" s="9"/>
      <c r="IC492" s="9"/>
      <c r="ID492" s="9"/>
      <c r="IE492" s="9"/>
      <c r="IF492" s="9"/>
      <c r="IG492" s="9"/>
      <c r="IH492" s="9"/>
      <c r="II492" s="9"/>
      <c r="IJ492" s="9"/>
      <c r="IK492" s="9"/>
      <c r="IL492" s="9"/>
      <c r="IM492" s="9"/>
      <c r="IN492" s="9"/>
      <c r="IO492" s="9"/>
      <c r="IP492" s="9"/>
      <c r="IQ492" s="9"/>
      <c r="IR492" s="9"/>
      <c r="IS492" s="9"/>
      <c r="IT492" s="9"/>
      <c r="IU492" s="9"/>
      <c r="IV492" s="9"/>
    </row>
    <row r="493" spans="1:256" outlineLevel="1">
      <c r="A493" s="16"/>
      <c r="B493" s="44"/>
      <c r="C493" s="20"/>
      <c r="D493" s="20"/>
      <c r="E493" s="20"/>
      <c r="F493" s="21"/>
      <c r="G493" s="21"/>
      <c r="H493" s="21"/>
      <c r="I493" s="21"/>
      <c r="J493" s="20"/>
      <c r="K493" s="21"/>
      <c r="L493" s="21"/>
      <c r="M493" s="21"/>
      <c r="N493" s="21"/>
      <c r="O493" s="21"/>
      <c r="P493" s="21"/>
      <c r="Q493" s="21"/>
      <c r="R493" s="20"/>
      <c r="S493" s="22">
        <f t="shared" si="34"/>
        <v>0</v>
      </c>
      <c r="T493" s="22">
        <f>COUNTIF($V$4:V493,V493)</f>
        <v>222</v>
      </c>
      <c r="U493" s="22" t="str">
        <f>IF(T493=1,COUNTIF($T$4:T493,1),"")</f>
        <v/>
      </c>
      <c r="V493" s="23" t="str">
        <f t="shared" si="35"/>
        <v/>
      </c>
      <c r="W493" s="23">
        <f t="shared" si="33"/>
        <v>0</v>
      </c>
      <c r="X493" s="24"/>
      <c r="Y493" s="23"/>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c r="EV493" s="9"/>
      <c r="EW493" s="9"/>
      <c r="EX493" s="9"/>
      <c r="EY493" s="9"/>
      <c r="EZ493" s="9"/>
      <c r="FA493" s="9"/>
      <c r="FB493" s="9"/>
      <c r="FC493" s="9"/>
      <c r="FD493" s="9"/>
      <c r="FE493" s="9"/>
      <c r="FF493" s="9"/>
      <c r="FG493" s="9"/>
      <c r="FH493" s="9"/>
      <c r="FI493" s="9"/>
      <c r="FJ493" s="9"/>
      <c r="FK493" s="9"/>
      <c r="FL493" s="9"/>
      <c r="FM493" s="9"/>
      <c r="FN493" s="9"/>
      <c r="FO493" s="9"/>
      <c r="FP493" s="9"/>
      <c r="FQ493" s="9"/>
      <c r="FR493" s="9"/>
      <c r="FS493" s="9"/>
      <c r="FT493" s="9"/>
      <c r="FU493" s="9"/>
      <c r="FV493" s="9"/>
      <c r="FW493" s="9"/>
      <c r="FX493" s="9"/>
      <c r="FY493" s="9"/>
      <c r="FZ493" s="9"/>
      <c r="GA493" s="9"/>
      <c r="GB493" s="9"/>
      <c r="GC493" s="9"/>
      <c r="GD493" s="9"/>
      <c r="GE493" s="9"/>
      <c r="GF493" s="9"/>
      <c r="GG493" s="9"/>
      <c r="GH493" s="9"/>
      <c r="GI493" s="9"/>
      <c r="GJ493" s="9"/>
      <c r="GK493" s="9"/>
      <c r="GL493" s="9"/>
      <c r="GM493" s="9"/>
      <c r="GN493" s="9"/>
      <c r="GO493" s="9"/>
      <c r="GP493" s="9"/>
      <c r="GQ493" s="9"/>
      <c r="GR493" s="9"/>
      <c r="GS493" s="9"/>
      <c r="GT493" s="9"/>
      <c r="GU493" s="9"/>
      <c r="GV493" s="9"/>
      <c r="GW493" s="9"/>
      <c r="GX493" s="9"/>
      <c r="GY493" s="9"/>
      <c r="GZ493" s="9"/>
      <c r="HA493" s="9"/>
      <c r="HB493" s="9"/>
      <c r="HC493" s="9"/>
      <c r="HD493" s="9"/>
      <c r="HE493" s="9"/>
      <c r="HF493" s="9"/>
      <c r="HG493" s="9"/>
      <c r="HH493" s="9"/>
      <c r="HI493" s="9"/>
      <c r="HJ493" s="9"/>
      <c r="HK493" s="9"/>
      <c r="HL493" s="9"/>
      <c r="HM493" s="9"/>
      <c r="HN493" s="9"/>
      <c r="HO493" s="9"/>
      <c r="HP493" s="9"/>
      <c r="HQ493" s="9"/>
      <c r="HR493" s="9"/>
      <c r="HS493" s="9"/>
      <c r="HT493" s="9"/>
      <c r="HU493" s="9"/>
      <c r="HV493" s="9"/>
      <c r="HW493" s="9"/>
      <c r="HX493" s="9"/>
      <c r="HY493" s="9"/>
      <c r="HZ493" s="9"/>
      <c r="IA493" s="9"/>
      <c r="IB493" s="9"/>
      <c r="IC493" s="9"/>
      <c r="ID493" s="9"/>
      <c r="IE493" s="9"/>
      <c r="IF493" s="9"/>
      <c r="IG493" s="9"/>
      <c r="IH493" s="9"/>
      <c r="II493" s="9"/>
      <c r="IJ493" s="9"/>
      <c r="IK493" s="9"/>
      <c r="IL493" s="9"/>
      <c r="IM493" s="9"/>
      <c r="IN493" s="9"/>
      <c r="IO493" s="9"/>
      <c r="IP493" s="9"/>
      <c r="IQ493" s="9"/>
      <c r="IR493" s="9"/>
      <c r="IS493" s="9"/>
      <c r="IT493" s="9"/>
      <c r="IU493" s="9"/>
      <c r="IV493" s="9"/>
    </row>
    <row r="494" spans="1:256" outlineLevel="1">
      <c r="A494" s="16"/>
      <c r="B494" s="44"/>
      <c r="C494" s="20"/>
      <c r="D494" s="20"/>
      <c r="E494" s="20"/>
      <c r="F494" s="21"/>
      <c r="G494" s="21"/>
      <c r="H494" s="21"/>
      <c r="I494" s="21"/>
      <c r="J494" s="20"/>
      <c r="K494" s="21"/>
      <c r="L494" s="21"/>
      <c r="M494" s="21"/>
      <c r="N494" s="21"/>
      <c r="O494" s="21"/>
      <c r="P494" s="21"/>
      <c r="Q494" s="21"/>
      <c r="R494" s="20"/>
      <c r="S494" s="22">
        <f t="shared" si="34"/>
        <v>0</v>
      </c>
      <c r="T494" s="22">
        <f>COUNTIF($V$4:V494,V494)</f>
        <v>223</v>
      </c>
      <c r="U494" s="22" t="str">
        <f>IF(T494=1,COUNTIF($T$4:T494,1),"")</f>
        <v/>
      </c>
      <c r="V494" s="23" t="str">
        <f t="shared" si="35"/>
        <v/>
      </c>
      <c r="W494" s="23">
        <f t="shared" si="33"/>
        <v>0</v>
      </c>
      <c r="X494" s="24"/>
      <c r="Y494" s="23"/>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c r="EV494" s="9"/>
      <c r="EW494" s="9"/>
      <c r="EX494" s="9"/>
      <c r="EY494" s="9"/>
      <c r="EZ494" s="9"/>
      <c r="FA494" s="9"/>
      <c r="FB494" s="9"/>
      <c r="FC494" s="9"/>
      <c r="FD494" s="9"/>
      <c r="FE494" s="9"/>
      <c r="FF494" s="9"/>
      <c r="FG494" s="9"/>
      <c r="FH494" s="9"/>
      <c r="FI494" s="9"/>
      <c r="FJ494" s="9"/>
      <c r="FK494" s="9"/>
      <c r="FL494" s="9"/>
      <c r="FM494" s="9"/>
      <c r="FN494" s="9"/>
      <c r="FO494" s="9"/>
      <c r="FP494" s="9"/>
      <c r="FQ494" s="9"/>
      <c r="FR494" s="9"/>
      <c r="FS494" s="9"/>
      <c r="FT494" s="9"/>
      <c r="FU494" s="9"/>
      <c r="FV494" s="9"/>
      <c r="FW494" s="9"/>
      <c r="FX494" s="9"/>
      <c r="FY494" s="9"/>
      <c r="FZ494" s="9"/>
      <c r="GA494" s="9"/>
      <c r="GB494" s="9"/>
      <c r="GC494" s="9"/>
      <c r="GD494" s="9"/>
      <c r="GE494" s="9"/>
      <c r="GF494" s="9"/>
      <c r="GG494" s="9"/>
      <c r="GH494" s="9"/>
      <c r="GI494" s="9"/>
      <c r="GJ494" s="9"/>
      <c r="GK494" s="9"/>
      <c r="GL494" s="9"/>
      <c r="GM494" s="9"/>
      <c r="GN494" s="9"/>
      <c r="GO494" s="9"/>
      <c r="GP494" s="9"/>
      <c r="GQ494" s="9"/>
      <c r="GR494" s="9"/>
      <c r="GS494" s="9"/>
      <c r="GT494" s="9"/>
      <c r="GU494" s="9"/>
      <c r="GV494" s="9"/>
      <c r="GW494" s="9"/>
      <c r="GX494" s="9"/>
      <c r="GY494" s="9"/>
      <c r="GZ494" s="9"/>
      <c r="HA494" s="9"/>
      <c r="HB494" s="9"/>
      <c r="HC494" s="9"/>
      <c r="HD494" s="9"/>
      <c r="HE494" s="9"/>
      <c r="HF494" s="9"/>
      <c r="HG494" s="9"/>
      <c r="HH494" s="9"/>
      <c r="HI494" s="9"/>
      <c r="HJ494" s="9"/>
      <c r="HK494" s="9"/>
      <c r="HL494" s="9"/>
      <c r="HM494" s="9"/>
      <c r="HN494" s="9"/>
      <c r="HO494" s="9"/>
      <c r="HP494" s="9"/>
      <c r="HQ494" s="9"/>
      <c r="HR494" s="9"/>
      <c r="HS494" s="9"/>
      <c r="HT494" s="9"/>
      <c r="HU494" s="9"/>
      <c r="HV494" s="9"/>
      <c r="HW494" s="9"/>
      <c r="HX494" s="9"/>
      <c r="HY494" s="9"/>
      <c r="HZ494" s="9"/>
      <c r="IA494" s="9"/>
      <c r="IB494" s="9"/>
      <c r="IC494" s="9"/>
      <c r="ID494" s="9"/>
      <c r="IE494" s="9"/>
      <c r="IF494" s="9"/>
      <c r="IG494" s="9"/>
      <c r="IH494" s="9"/>
      <c r="II494" s="9"/>
      <c r="IJ494" s="9"/>
      <c r="IK494" s="9"/>
      <c r="IL494" s="9"/>
      <c r="IM494" s="9"/>
      <c r="IN494" s="9"/>
      <c r="IO494" s="9"/>
      <c r="IP494" s="9"/>
      <c r="IQ494" s="9"/>
      <c r="IR494" s="9"/>
      <c r="IS494" s="9"/>
      <c r="IT494" s="9"/>
      <c r="IU494" s="9"/>
      <c r="IV494" s="9"/>
    </row>
    <row r="495" spans="1:256" outlineLevel="1">
      <c r="A495" s="16"/>
      <c r="B495" s="44"/>
      <c r="C495" s="20"/>
      <c r="D495" s="20"/>
      <c r="E495" s="20"/>
      <c r="F495" s="21"/>
      <c r="G495" s="21"/>
      <c r="H495" s="21"/>
      <c r="I495" s="21"/>
      <c r="J495" s="20"/>
      <c r="K495" s="21"/>
      <c r="L495" s="21"/>
      <c r="M495" s="21"/>
      <c r="N495" s="21"/>
      <c r="O495" s="21"/>
      <c r="P495" s="21"/>
      <c r="Q495" s="21"/>
      <c r="R495" s="20"/>
      <c r="S495" s="22">
        <f t="shared" si="34"/>
        <v>0</v>
      </c>
      <c r="T495" s="22">
        <f>COUNTIF($V$4:V495,V495)</f>
        <v>224</v>
      </c>
      <c r="U495" s="22" t="str">
        <f>IF(T495=1,COUNTIF($T$4:T495,1),"")</f>
        <v/>
      </c>
      <c r="V495" s="23" t="str">
        <f t="shared" si="35"/>
        <v/>
      </c>
      <c r="W495" s="23">
        <f t="shared" si="33"/>
        <v>0</v>
      </c>
      <c r="X495" s="24"/>
      <c r="Y495" s="23"/>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c r="EV495" s="9"/>
      <c r="EW495" s="9"/>
      <c r="EX495" s="9"/>
      <c r="EY495" s="9"/>
      <c r="EZ495" s="9"/>
      <c r="FA495" s="9"/>
      <c r="FB495" s="9"/>
      <c r="FC495" s="9"/>
      <c r="FD495" s="9"/>
      <c r="FE495" s="9"/>
      <c r="FF495" s="9"/>
      <c r="FG495" s="9"/>
      <c r="FH495" s="9"/>
      <c r="FI495" s="9"/>
      <c r="FJ495" s="9"/>
      <c r="FK495" s="9"/>
      <c r="FL495" s="9"/>
      <c r="FM495" s="9"/>
      <c r="FN495" s="9"/>
      <c r="FO495" s="9"/>
      <c r="FP495" s="9"/>
      <c r="FQ495" s="9"/>
      <c r="FR495" s="9"/>
      <c r="FS495" s="9"/>
      <c r="FT495" s="9"/>
      <c r="FU495" s="9"/>
      <c r="FV495" s="9"/>
      <c r="FW495" s="9"/>
      <c r="FX495" s="9"/>
      <c r="FY495" s="9"/>
      <c r="FZ495" s="9"/>
      <c r="GA495" s="9"/>
      <c r="GB495" s="9"/>
      <c r="GC495" s="9"/>
      <c r="GD495" s="9"/>
      <c r="GE495" s="9"/>
      <c r="GF495" s="9"/>
      <c r="GG495" s="9"/>
      <c r="GH495" s="9"/>
      <c r="GI495" s="9"/>
      <c r="GJ495" s="9"/>
      <c r="GK495" s="9"/>
      <c r="GL495" s="9"/>
      <c r="GM495" s="9"/>
      <c r="GN495" s="9"/>
      <c r="GO495" s="9"/>
      <c r="GP495" s="9"/>
      <c r="GQ495" s="9"/>
      <c r="GR495" s="9"/>
      <c r="GS495" s="9"/>
      <c r="GT495" s="9"/>
      <c r="GU495" s="9"/>
      <c r="GV495" s="9"/>
      <c r="GW495" s="9"/>
      <c r="GX495" s="9"/>
      <c r="GY495" s="9"/>
      <c r="GZ495" s="9"/>
      <c r="HA495" s="9"/>
      <c r="HB495" s="9"/>
      <c r="HC495" s="9"/>
      <c r="HD495" s="9"/>
      <c r="HE495" s="9"/>
      <c r="HF495" s="9"/>
      <c r="HG495" s="9"/>
      <c r="HH495" s="9"/>
      <c r="HI495" s="9"/>
      <c r="HJ495" s="9"/>
      <c r="HK495" s="9"/>
      <c r="HL495" s="9"/>
      <c r="HM495" s="9"/>
      <c r="HN495" s="9"/>
      <c r="HO495" s="9"/>
      <c r="HP495" s="9"/>
      <c r="HQ495" s="9"/>
      <c r="HR495" s="9"/>
      <c r="HS495" s="9"/>
      <c r="HT495" s="9"/>
      <c r="HU495" s="9"/>
      <c r="HV495" s="9"/>
      <c r="HW495" s="9"/>
      <c r="HX495" s="9"/>
      <c r="HY495" s="9"/>
      <c r="HZ495" s="9"/>
      <c r="IA495" s="9"/>
      <c r="IB495" s="9"/>
      <c r="IC495" s="9"/>
      <c r="ID495" s="9"/>
      <c r="IE495" s="9"/>
      <c r="IF495" s="9"/>
      <c r="IG495" s="9"/>
      <c r="IH495" s="9"/>
      <c r="II495" s="9"/>
      <c r="IJ495" s="9"/>
      <c r="IK495" s="9"/>
      <c r="IL495" s="9"/>
      <c r="IM495" s="9"/>
      <c r="IN495" s="9"/>
      <c r="IO495" s="9"/>
      <c r="IP495" s="9"/>
      <c r="IQ495" s="9"/>
      <c r="IR495" s="9"/>
      <c r="IS495" s="9"/>
      <c r="IT495" s="9"/>
      <c r="IU495" s="9"/>
      <c r="IV495" s="9"/>
    </row>
    <row r="496" spans="1:256" outlineLevel="1">
      <c r="A496" s="16"/>
      <c r="B496" s="44"/>
      <c r="C496" s="20"/>
      <c r="D496" s="20"/>
      <c r="E496" s="20"/>
      <c r="F496" s="21"/>
      <c r="G496" s="21"/>
      <c r="H496" s="21"/>
      <c r="I496" s="21"/>
      <c r="J496" s="20"/>
      <c r="K496" s="21"/>
      <c r="L496" s="21"/>
      <c r="M496" s="21"/>
      <c r="N496" s="21"/>
      <c r="O496" s="39"/>
      <c r="P496" s="21"/>
      <c r="Q496" s="21"/>
      <c r="R496" s="20"/>
      <c r="S496" s="22">
        <f t="shared" si="34"/>
        <v>0</v>
      </c>
      <c r="T496" s="22">
        <f>COUNTIF($V$4:V496,V496)</f>
        <v>225</v>
      </c>
      <c r="U496" s="22" t="str">
        <f>IF(T496=1,COUNTIF($T$4:T496,1),"")</f>
        <v/>
      </c>
      <c r="V496" s="23" t="str">
        <f t="shared" si="35"/>
        <v/>
      </c>
      <c r="W496" s="23">
        <f t="shared" si="33"/>
        <v>0</v>
      </c>
      <c r="X496" s="24"/>
      <c r="Y496" s="23"/>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c r="EV496" s="9"/>
      <c r="EW496" s="9"/>
      <c r="EX496" s="9"/>
      <c r="EY496" s="9"/>
      <c r="EZ496" s="9"/>
      <c r="FA496" s="9"/>
      <c r="FB496" s="9"/>
      <c r="FC496" s="9"/>
      <c r="FD496" s="9"/>
      <c r="FE496" s="9"/>
      <c r="FF496" s="9"/>
      <c r="FG496" s="9"/>
      <c r="FH496" s="9"/>
      <c r="FI496" s="9"/>
      <c r="FJ496" s="9"/>
      <c r="FK496" s="9"/>
      <c r="FL496" s="9"/>
      <c r="FM496" s="9"/>
      <c r="FN496" s="9"/>
      <c r="FO496" s="9"/>
      <c r="FP496" s="9"/>
      <c r="FQ496" s="9"/>
      <c r="FR496" s="9"/>
      <c r="FS496" s="9"/>
      <c r="FT496" s="9"/>
      <c r="FU496" s="9"/>
      <c r="FV496" s="9"/>
      <c r="FW496" s="9"/>
      <c r="FX496" s="9"/>
      <c r="FY496" s="9"/>
      <c r="FZ496" s="9"/>
      <c r="GA496" s="9"/>
      <c r="GB496" s="9"/>
      <c r="GC496" s="9"/>
      <c r="GD496" s="9"/>
      <c r="GE496" s="9"/>
      <c r="GF496" s="9"/>
      <c r="GG496" s="9"/>
      <c r="GH496" s="9"/>
      <c r="GI496" s="9"/>
      <c r="GJ496" s="9"/>
      <c r="GK496" s="9"/>
      <c r="GL496" s="9"/>
      <c r="GM496" s="9"/>
      <c r="GN496" s="9"/>
      <c r="GO496" s="9"/>
      <c r="GP496" s="9"/>
      <c r="GQ496" s="9"/>
      <c r="GR496" s="9"/>
      <c r="GS496" s="9"/>
      <c r="GT496" s="9"/>
      <c r="GU496" s="9"/>
      <c r="GV496" s="9"/>
      <c r="GW496" s="9"/>
      <c r="GX496" s="9"/>
      <c r="GY496" s="9"/>
      <c r="GZ496" s="9"/>
      <c r="HA496" s="9"/>
      <c r="HB496" s="9"/>
      <c r="HC496" s="9"/>
      <c r="HD496" s="9"/>
      <c r="HE496" s="9"/>
      <c r="HF496" s="9"/>
      <c r="HG496" s="9"/>
      <c r="HH496" s="9"/>
      <c r="HI496" s="9"/>
      <c r="HJ496" s="9"/>
      <c r="HK496" s="9"/>
      <c r="HL496" s="9"/>
      <c r="HM496" s="9"/>
      <c r="HN496" s="9"/>
      <c r="HO496" s="9"/>
      <c r="HP496" s="9"/>
      <c r="HQ496" s="9"/>
      <c r="HR496" s="9"/>
      <c r="HS496" s="9"/>
      <c r="HT496" s="9"/>
      <c r="HU496" s="9"/>
      <c r="HV496" s="9"/>
      <c r="HW496" s="9"/>
      <c r="HX496" s="9"/>
      <c r="HY496" s="9"/>
      <c r="HZ496" s="9"/>
      <c r="IA496" s="9"/>
      <c r="IB496" s="9"/>
      <c r="IC496" s="9"/>
      <c r="ID496" s="9"/>
      <c r="IE496" s="9"/>
      <c r="IF496" s="9"/>
      <c r="IG496" s="9"/>
      <c r="IH496" s="9"/>
      <c r="II496" s="9"/>
      <c r="IJ496" s="9"/>
      <c r="IK496" s="9"/>
      <c r="IL496" s="9"/>
      <c r="IM496" s="9"/>
      <c r="IN496" s="9"/>
      <c r="IO496" s="9"/>
      <c r="IP496" s="9"/>
      <c r="IQ496" s="9"/>
      <c r="IR496" s="9"/>
      <c r="IS496" s="9"/>
      <c r="IT496" s="9"/>
      <c r="IU496" s="9"/>
      <c r="IV496" s="9"/>
    </row>
    <row r="497" spans="1:256" outlineLevel="1">
      <c r="A497" s="16"/>
      <c r="B497" s="44"/>
      <c r="C497" s="20"/>
      <c r="D497" s="20"/>
      <c r="E497" s="20"/>
      <c r="F497" s="21"/>
      <c r="G497" s="21"/>
      <c r="H497" s="21"/>
      <c r="I497" s="21"/>
      <c r="J497" s="20"/>
      <c r="K497" s="21"/>
      <c r="L497" s="21"/>
      <c r="M497" s="21"/>
      <c r="N497" s="21"/>
      <c r="O497" s="21"/>
      <c r="P497" s="21"/>
      <c r="Q497" s="21"/>
      <c r="R497" s="20"/>
      <c r="S497" s="22">
        <f t="shared" si="34"/>
        <v>0</v>
      </c>
      <c r="T497" s="22">
        <f>COUNTIF($V$4:V497,V497)</f>
        <v>226</v>
      </c>
      <c r="U497" s="22" t="str">
        <f>IF(T497=1,COUNTIF($T$4:T497,1),"")</f>
        <v/>
      </c>
      <c r="V497" s="23" t="str">
        <f t="shared" si="35"/>
        <v/>
      </c>
      <c r="W497" s="23">
        <f t="shared" si="33"/>
        <v>0</v>
      </c>
      <c r="X497" s="24"/>
      <c r="Y497" s="23"/>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c r="EV497" s="9"/>
      <c r="EW497" s="9"/>
      <c r="EX497" s="9"/>
      <c r="EY497" s="9"/>
      <c r="EZ497" s="9"/>
      <c r="FA497" s="9"/>
      <c r="FB497" s="9"/>
      <c r="FC497" s="9"/>
      <c r="FD497" s="9"/>
      <c r="FE497" s="9"/>
      <c r="FF497" s="9"/>
      <c r="FG497" s="9"/>
      <c r="FH497" s="9"/>
      <c r="FI497" s="9"/>
      <c r="FJ497" s="9"/>
      <c r="FK497" s="9"/>
      <c r="FL497" s="9"/>
      <c r="FM497" s="9"/>
      <c r="FN497" s="9"/>
      <c r="FO497" s="9"/>
      <c r="FP497" s="9"/>
      <c r="FQ497" s="9"/>
      <c r="FR497" s="9"/>
      <c r="FS497" s="9"/>
      <c r="FT497" s="9"/>
      <c r="FU497" s="9"/>
      <c r="FV497" s="9"/>
      <c r="FW497" s="9"/>
      <c r="FX497" s="9"/>
      <c r="FY497" s="9"/>
      <c r="FZ497" s="9"/>
      <c r="GA497" s="9"/>
      <c r="GB497" s="9"/>
      <c r="GC497" s="9"/>
      <c r="GD497" s="9"/>
      <c r="GE497" s="9"/>
      <c r="GF497" s="9"/>
      <c r="GG497" s="9"/>
      <c r="GH497" s="9"/>
      <c r="GI497" s="9"/>
      <c r="GJ497" s="9"/>
      <c r="GK497" s="9"/>
      <c r="GL497" s="9"/>
      <c r="GM497" s="9"/>
      <c r="GN497" s="9"/>
      <c r="GO497" s="9"/>
      <c r="GP497" s="9"/>
      <c r="GQ497" s="9"/>
      <c r="GR497" s="9"/>
      <c r="GS497" s="9"/>
      <c r="GT497" s="9"/>
      <c r="GU497" s="9"/>
      <c r="GV497" s="9"/>
      <c r="GW497" s="9"/>
      <c r="GX497" s="9"/>
      <c r="GY497" s="9"/>
      <c r="GZ497" s="9"/>
      <c r="HA497" s="9"/>
      <c r="HB497" s="9"/>
      <c r="HC497" s="9"/>
      <c r="HD497" s="9"/>
      <c r="HE497" s="9"/>
      <c r="HF497" s="9"/>
      <c r="HG497" s="9"/>
      <c r="HH497" s="9"/>
      <c r="HI497" s="9"/>
      <c r="HJ497" s="9"/>
      <c r="HK497" s="9"/>
      <c r="HL497" s="9"/>
      <c r="HM497" s="9"/>
      <c r="HN497" s="9"/>
      <c r="HO497" s="9"/>
      <c r="HP497" s="9"/>
      <c r="HQ497" s="9"/>
      <c r="HR497" s="9"/>
      <c r="HS497" s="9"/>
      <c r="HT497" s="9"/>
      <c r="HU497" s="9"/>
      <c r="HV497" s="9"/>
      <c r="HW497" s="9"/>
      <c r="HX497" s="9"/>
      <c r="HY497" s="9"/>
      <c r="HZ497" s="9"/>
      <c r="IA497" s="9"/>
      <c r="IB497" s="9"/>
      <c r="IC497" s="9"/>
      <c r="ID497" s="9"/>
      <c r="IE497" s="9"/>
      <c r="IF497" s="9"/>
      <c r="IG497" s="9"/>
      <c r="IH497" s="9"/>
      <c r="II497" s="9"/>
      <c r="IJ497" s="9"/>
      <c r="IK497" s="9"/>
      <c r="IL497" s="9"/>
      <c r="IM497" s="9"/>
      <c r="IN497" s="9"/>
      <c r="IO497" s="9"/>
      <c r="IP497" s="9"/>
      <c r="IQ497" s="9"/>
      <c r="IR497" s="9"/>
      <c r="IS497" s="9"/>
      <c r="IT497" s="9"/>
      <c r="IU497" s="9"/>
      <c r="IV497" s="9"/>
    </row>
    <row r="498" spans="1:256" outlineLevel="1">
      <c r="A498" s="16"/>
      <c r="B498" s="44"/>
      <c r="C498" s="20"/>
      <c r="D498" s="20"/>
      <c r="E498" s="20"/>
      <c r="F498" s="21"/>
      <c r="G498" s="21"/>
      <c r="H498" s="21"/>
      <c r="I498" s="21"/>
      <c r="J498" s="20"/>
      <c r="K498" s="21"/>
      <c r="L498" s="21"/>
      <c r="M498" s="21"/>
      <c r="N498" s="21"/>
      <c r="O498" s="21"/>
      <c r="P498" s="21"/>
      <c r="Q498" s="21"/>
      <c r="R498" s="20"/>
      <c r="S498" s="22">
        <f t="shared" si="34"/>
        <v>0</v>
      </c>
      <c r="T498" s="22">
        <f>COUNTIF($V$4:V498,V498)</f>
        <v>227</v>
      </c>
      <c r="U498" s="22" t="str">
        <f>IF(T498=1,COUNTIF($T$4:T498,1),"")</f>
        <v/>
      </c>
      <c r="V498" s="23" t="str">
        <f t="shared" si="35"/>
        <v/>
      </c>
      <c r="W498" s="23">
        <f t="shared" si="33"/>
        <v>0</v>
      </c>
      <c r="X498" s="24"/>
      <c r="Y498" s="23"/>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9"/>
      <c r="HQ498" s="9"/>
      <c r="HR498" s="9"/>
      <c r="HS498" s="9"/>
      <c r="HT498" s="9"/>
      <c r="HU498" s="9"/>
      <c r="HV498" s="9"/>
      <c r="HW498" s="9"/>
      <c r="HX498" s="9"/>
      <c r="HY498" s="9"/>
      <c r="HZ498" s="9"/>
      <c r="IA498" s="9"/>
      <c r="IB498" s="9"/>
      <c r="IC498" s="9"/>
      <c r="ID498" s="9"/>
      <c r="IE498" s="9"/>
      <c r="IF498" s="9"/>
      <c r="IG498" s="9"/>
      <c r="IH498" s="9"/>
      <c r="II498" s="9"/>
      <c r="IJ498" s="9"/>
      <c r="IK498" s="9"/>
      <c r="IL498" s="9"/>
      <c r="IM498" s="9"/>
      <c r="IN498" s="9"/>
      <c r="IO498" s="9"/>
      <c r="IP498" s="9"/>
      <c r="IQ498" s="9"/>
      <c r="IR498" s="9"/>
      <c r="IS498" s="9"/>
      <c r="IT498" s="9"/>
      <c r="IU498" s="9"/>
      <c r="IV498" s="9"/>
    </row>
    <row r="499" spans="1:256" outlineLevel="1">
      <c r="A499" s="16"/>
      <c r="B499" s="44"/>
      <c r="C499" s="20"/>
      <c r="D499" s="20"/>
      <c r="E499" s="20"/>
      <c r="F499" s="21"/>
      <c r="G499" s="21"/>
      <c r="H499" s="21"/>
      <c r="I499" s="21"/>
      <c r="J499" s="20"/>
      <c r="K499" s="21"/>
      <c r="L499" s="21"/>
      <c r="M499" s="21"/>
      <c r="N499" s="21"/>
      <c r="O499" s="21"/>
      <c r="P499" s="21"/>
      <c r="Q499" s="21"/>
      <c r="R499" s="20"/>
      <c r="S499" s="22">
        <f t="shared" si="34"/>
        <v>0</v>
      </c>
      <c r="T499" s="22">
        <f>COUNTIF($V$4:V499,V499)</f>
        <v>228</v>
      </c>
      <c r="U499" s="22" t="str">
        <f>IF(T499=1,COUNTIF($T$4:T499,1),"")</f>
        <v/>
      </c>
      <c r="V499" s="23" t="str">
        <f t="shared" si="35"/>
        <v/>
      </c>
      <c r="W499" s="23">
        <f t="shared" si="33"/>
        <v>0</v>
      </c>
      <c r="X499" s="24"/>
      <c r="Y499" s="23"/>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9"/>
      <c r="HQ499" s="9"/>
      <c r="HR499" s="9"/>
      <c r="HS499" s="9"/>
      <c r="HT499" s="9"/>
      <c r="HU499" s="9"/>
      <c r="HV499" s="9"/>
      <c r="HW499" s="9"/>
      <c r="HX499" s="9"/>
      <c r="HY499" s="9"/>
      <c r="HZ499" s="9"/>
      <c r="IA499" s="9"/>
      <c r="IB499" s="9"/>
      <c r="IC499" s="9"/>
      <c r="ID499" s="9"/>
      <c r="IE499" s="9"/>
      <c r="IF499" s="9"/>
      <c r="IG499" s="9"/>
      <c r="IH499" s="9"/>
      <c r="II499" s="9"/>
      <c r="IJ499" s="9"/>
      <c r="IK499" s="9"/>
      <c r="IL499" s="9"/>
      <c r="IM499" s="9"/>
      <c r="IN499" s="9"/>
      <c r="IO499" s="9"/>
      <c r="IP499" s="9"/>
      <c r="IQ499" s="9"/>
      <c r="IR499" s="9"/>
      <c r="IS499" s="9"/>
      <c r="IT499" s="9"/>
      <c r="IU499" s="9"/>
      <c r="IV499" s="9"/>
    </row>
    <row r="500" spans="1:256" outlineLevel="1">
      <c r="A500" s="16"/>
      <c r="B500" s="44"/>
      <c r="C500" s="20"/>
      <c r="D500" s="20"/>
      <c r="E500" s="20"/>
      <c r="F500" s="21"/>
      <c r="G500" s="21"/>
      <c r="H500" s="21"/>
      <c r="I500" s="21"/>
      <c r="J500" s="20"/>
      <c r="K500" s="21"/>
      <c r="L500" s="21"/>
      <c r="M500" s="21"/>
      <c r="N500" s="21"/>
      <c r="O500" s="21"/>
      <c r="P500" s="21"/>
      <c r="Q500" s="21"/>
      <c r="R500" s="20"/>
      <c r="S500" s="22">
        <f t="shared" si="34"/>
        <v>0</v>
      </c>
      <c r="T500" s="22">
        <f>COUNTIF($V$4:V500,V500)</f>
        <v>229</v>
      </c>
      <c r="U500" s="22" t="str">
        <f>IF(T500=1,COUNTIF($T$4:T500,1),"")</f>
        <v/>
      </c>
      <c r="V500" s="23" t="str">
        <f t="shared" si="35"/>
        <v/>
      </c>
      <c r="W500" s="23">
        <f t="shared" si="33"/>
        <v>0</v>
      </c>
      <c r="X500" s="24"/>
      <c r="Y500" s="23"/>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c r="EB500" s="9"/>
      <c r="EC500" s="9"/>
      <c r="ED500" s="9"/>
      <c r="EE500" s="9"/>
      <c r="EF500" s="9"/>
      <c r="EG500" s="9"/>
      <c r="EH500" s="9"/>
      <c r="EI500" s="9"/>
      <c r="EJ500" s="9"/>
      <c r="EK500" s="9"/>
      <c r="EL500" s="9"/>
      <c r="EM500" s="9"/>
      <c r="EN500" s="9"/>
      <c r="EO500" s="9"/>
      <c r="EP500" s="9"/>
      <c r="EQ500" s="9"/>
      <c r="ER500" s="9"/>
      <c r="ES500" s="9"/>
      <c r="ET500" s="9"/>
      <c r="EU500" s="9"/>
      <c r="EV500" s="9"/>
      <c r="EW500" s="9"/>
      <c r="EX500" s="9"/>
      <c r="EY500" s="9"/>
      <c r="EZ500" s="9"/>
      <c r="FA500" s="9"/>
      <c r="FB500" s="9"/>
      <c r="FC500" s="9"/>
      <c r="FD500" s="9"/>
      <c r="FE500" s="9"/>
      <c r="FF500" s="9"/>
      <c r="FG500" s="9"/>
      <c r="FH500" s="9"/>
      <c r="FI500" s="9"/>
      <c r="FJ500" s="9"/>
      <c r="FK500" s="9"/>
      <c r="FL500" s="9"/>
      <c r="FM500" s="9"/>
      <c r="FN500" s="9"/>
      <c r="FO500" s="9"/>
      <c r="FP500" s="9"/>
      <c r="FQ500" s="9"/>
      <c r="FR500" s="9"/>
      <c r="FS500" s="9"/>
      <c r="FT500" s="9"/>
      <c r="FU500" s="9"/>
      <c r="FV500" s="9"/>
      <c r="FW500" s="9"/>
      <c r="FX500" s="9"/>
      <c r="FY500" s="9"/>
      <c r="FZ500" s="9"/>
      <c r="GA500" s="9"/>
      <c r="GB500" s="9"/>
      <c r="GC500" s="9"/>
      <c r="GD500" s="9"/>
      <c r="GE500" s="9"/>
      <c r="GF500" s="9"/>
      <c r="GG500" s="9"/>
      <c r="GH500" s="9"/>
      <c r="GI500" s="9"/>
      <c r="GJ500" s="9"/>
      <c r="GK500" s="9"/>
      <c r="GL500" s="9"/>
      <c r="GM500" s="9"/>
      <c r="GN500" s="9"/>
      <c r="GO500" s="9"/>
      <c r="GP500" s="9"/>
      <c r="GQ500" s="9"/>
      <c r="GR500" s="9"/>
      <c r="GS500" s="9"/>
      <c r="GT500" s="9"/>
      <c r="GU500" s="9"/>
      <c r="GV500" s="9"/>
      <c r="GW500" s="9"/>
      <c r="GX500" s="9"/>
      <c r="GY500" s="9"/>
      <c r="GZ500" s="9"/>
      <c r="HA500" s="9"/>
      <c r="HB500" s="9"/>
      <c r="HC500" s="9"/>
      <c r="HD500" s="9"/>
      <c r="HE500" s="9"/>
      <c r="HF500" s="9"/>
      <c r="HG500" s="9"/>
      <c r="HH500" s="9"/>
      <c r="HI500" s="9"/>
      <c r="HJ500" s="9"/>
      <c r="HK500" s="9"/>
      <c r="HL500" s="9"/>
      <c r="HM500" s="9"/>
      <c r="HN500" s="9"/>
      <c r="HO500" s="9"/>
      <c r="HP500" s="9"/>
      <c r="HQ500" s="9"/>
      <c r="HR500" s="9"/>
      <c r="HS500" s="9"/>
      <c r="HT500" s="9"/>
      <c r="HU500" s="9"/>
      <c r="HV500" s="9"/>
      <c r="HW500" s="9"/>
      <c r="HX500" s="9"/>
      <c r="HY500" s="9"/>
      <c r="HZ500" s="9"/>
      <c r="IA500" s="9"/>
      <c r="IB500" s="9"/>
      <c r="IC500" s="9"/>
      <c r="ID500" s="9"/>
      <c r="IE500" s="9"/>
      <c r="IF500" s="9"/>
      <c r="IG500" s="9"/>
      <c r="IH500" s="9"/>
      <c r="II500" s="9"/>
      <c r="IJ500" s="9"/>
      <c r="IK500" s="9"/>
      <c r="IL500" s="9"/>
      <c r="IM500" s="9"/>
      <c r="IN500" s="9"/>
      <c r="IO500" s="9"/>
      <c r="IP500" s="9"/>
      <c r="IQ500" s="9"/>
      <c r="IR500" s="9"/>
      <c r="IS500" s="9"/>
      <c r="IT500" s="9"/>
      <c r="IU500" s="9"/>
      <c r="IV500" s="9"/>
    </row>
    <row r="501" spans="1:256" outlineLevel="1">
      <c r="A501" s="16"/>
      <c r="B501" s="44"/>
      <c r="C501" s="20"/>
      <c r="D501" s="20"/>
      <c r="E501" s="20"/>
      <c r="F501" s="21"/>
      <c r="G501" s="21"/>
      <c r="H501" s="21"/>
      <c r="I501" s="21"/>
      <c r="J501" s="20"/>
      <c r="K501" s="21"/>
      <c r="L501" s="21"/>
      <c r="M501" s="21"/>
      <c r="N501" s="21"/>
      <c r="O501" s="21"/>
      <c r="P501" s="21"/>
      <c r="Q501" s="21"/>
      <c r="R501" s="20"/>
      <c r="S501" s="22">
        <f t="shared" si="34"/>
        <v>0</v>
      </c>
      <c r="T501" s="22">
        <f>COUNTIF($V$4:V501,V501)</f>
        <v>230</v>
      </c>
      <c r="U501" s="22" t="str">
        <f>IF(T501=1,COUNTIF($T$4:T501,1),"")</f>
        <v/>
      </c>
      <c r="V501" s="23" t="str">
        <f t="shared" si="35"/>
        <v/>
      </c>
      <c r="W501" s="23">
        <f t="shared" si="33"/>
        <v>0</v>
      </c>
      <c r="X501" s="24"/>
      <c r="Y501" s="23"/>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c r="EV501" s="9"/>
      <c r="EW501" s="9"/>
      <c r="EX501" s="9"/>
      <c r="EY501" s="9"/>
      <c r="EZ501" s="9"/>
      <c r="FA501" s="9"/>
      <c r="FB501" s="9"/>
      <c r="FC501" s="9"/>
      <c r="FD501" s="9"/>
      <c r="FE501" s="9"/>
      <c r="FF501" s="9"/>
      <c r="FG501" s="9"/>
      <c r="FH501" s="9"/>
      <c r="FI501" s="9"/>
      <c r="FJ501" s="9"/>
      <c r="FK501" s="9"/>
      <c r="FL501" s="9"/>
      <c r="FM501" s="9"/>
      <c r="FN501" s="9"/>
      <c r="FO501" s="9"/>
      <c r="FP501" s="9"/>
      <c r="FQ501" s="9"/>
      <c r="FR501" s="9"/>
      <c r="FS501" s="9"/>
      <c r="FT501" s="9"/>
      <c r="FU501" s="9"/>
      <c r="FV501" s="9"/>
      <c r="FW501" s="9"/>
      <c r="FX501" s="9"/>
      <c r="FY501" s="9"/>
      <c r="FZ501" s="9"/>
      <c r="GA501" s="9"/>
      <c r="GB501" s="9"/>
      <c r="GC501" s="9"/>
      <c r="GD501" s="9"/>
      <c r="GE501" s="9"/>
      <c r="GF501" s="9"/>
      <c r="GG501" s="9"/>
      <c r="GH501" s="9"/>
      <c r="GI501" s="9"/>
      <c r="GJ501" s="9"/>
      <c r="GK501" s="9"/>
      <c r="GL501" s="9"/>
      <c r="GM501" s="9"/>
      <c r="GN501" s="9"/>
      <c r="GO501" s="9"/>
      <c r="GP501" s="9"/>
      <c r="GQ501" s="9"/>
      <c r="GR501" s="9"/>
      <c r="GS501" s="9"/>
      <c r="GT501" s="9"/>
      <c r="GU501" s="9"/>
      <c r="GV501" s="9"/>
      <c r="GW501" s="9"/>
      <c r="GX501" s="9"/>
      <c r="GY501" s="9"/>
      <c r="GZ501" s="9"/>
      <c r="HA501" s="9"/>
      <c r="HB501" s="9"/>
      <c r="HC501" s="9"/>
      <c r="HD501" s="9"/>
      <c r="HE501" s="9"/>
      <c r="HF501" s="9"/>
      <c r="HG501" s="9"/>
      <c r="HH501" s="9"/>
      <c r="HI501" s="9"/>
      <c r="HJ501" s="9"/>
      <c r="HK501" s="9"/>
      <c r="HL501" s="9"/>
      <c r="HM501" s="9"/>
      <c r="HN501" s="9"/>
      <c r="HO501" s="9"/>
      <c r="HP501" s="9"/>
      <c r="HQ501" s="9"/>
      <c r="HR501" s="9"/>
      <c r="HS501" s="9"/>
      <c r="HT501" s="9"/>
      <c r="HU501" s="9"/>
      <c r="HV501" s="9"/>
      <c r="HW501" s="9"/>
      <c r="HX501" s="9"/>
      <c r="HY501" s="9"/>
      <c r="HZ501" s="9"/>
      <c r="IA501" s="9"/>
      <c r="IB501" s="9"/>
      <c r="IC501" s="9"/>
      <c r="ID501" s="9"/>
      <c r="IE501" s="9"/>
      <c r="IF501" s="9"/>
      <c r="IG501" s="9"/>
      <c r="IH501" s="9"/>
      <c r="II501" s="9"/>
      <c r="IJ501" s="9"/>
      <c r="IK501" s="9"/>
      <c r="IL501" s="9"/>
      <c r="IM501" s="9"/>
      <c r="IN501" s="9"/>
      <c r="IO501" s="9"/>
      <c r="IP501" s="9"/>
      <c r="IQ501" s="9"/>
      <c r="IR501" s="9"/>
      <c r="IS501" s="9"/>
      <c r="IT501" s="9"/>
      <c r="IU501" s="9"/>
      <c r="IV501" s="9"/>
    </row>
    <row r="502" spans="1:256" outlineLevel="1">
      <c r="A502" s="16"/>
      <c r="B502" s="44"/>
      <c r="C502" s="20"/>
      <c r="D502" s="20"/>
      <c r="E502" s="20"/>
      <c r="F502" s="21"/>
      <c r="G502" s="21"/>
      <c r="H502" s="21"/>
      <c r="I502" s="21"/>
      <c r="J502" s="20"/>
      <c r="K502" s="21"/>
      <c r="L502" s="21"/>
      <c r="M502" s="21"/>
      <c r="N502" s="21"/>
      <c r="O502" s="21"/>
      <c r="P502" s="21"/>
      <c r="Q502" s="21"/>
      <c r="R502" s="20"/>
      <c r="S502" s="22">
        <f t="shared" si="34"/>
        <v>0</v>
      </c>
      <c r="T502" s="22">
        <f>COUNTIF($V$4:V502,V502)</f>
        <v>231</v>
      </c>
      <c r="U502" s="22" t="str">
        <f>IF(T502=1,COUNTIF($T$4:T502,1),"")</f>
        <v/>
      </c>
      <c r="V502" s="23" t="str">
        <f t="shared" si="35"/>
        <v/>
      </c>
      <c r="W502" s="23">
        <f t="shared" si="33"/>
        <v>0</v>
      </c>
      <c r="X502" s="24"/>
      <c r="Y502" s="23"/>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c r="EB502" s="9"/>
      <c r="EC502" s="9"/>
      <c r="ED502" s="9"/>
      <c r="EE502" s="9"/>
      <c r="EF502" s="9"/>
      <c r="EG502" s="9"/>
      <c r="EH502" s="9"/>
      <c r="EI502" s="9"/>
      <c r="EJ502" s="9"/>
      <c r="EK502" s="9"/>
      <c r="EL502" s="9"/>
      <c r="EM502" s="9"/>
      <c r="EN502" s="9"/>
      <c r="EO502" s="9"/>
      <c r="EP502" s="9"/>
      <c r="EQ502" s="9"/>
      <c r="ER502" s="9"/>
      <c r="ES502" s="9"/>
      <c r="ET502" s="9"/>
      <c r="EU502" s="9"/>
      <c r="EV502" s="9"/>
      <c r="EW502" s="9"/>
      <c r="EX502" s="9"/>
      <c r="EY502" s="9"/>
      <c r="EZ502" s="9"/>
      <c r="FA502" s="9"/>
      <c r="FB502" s="9"/>
      <c r="FC502" s="9"/>
      <c r="FD502" s="9"/>
      <c r="FE502" s="9"/>
      <c r="FF502" s="9"/>
      <c r="FG502" s="9"/>
      <c r="FH502" s="9"/>
      <c r="FI502" s="9"/>
      <c r="FJ502" s="9"/>
      <c r="FK502" s="9"/>
      <c r="FL502" s="9"/>
      <c r="FM502" s="9"/>
      <c r="FN502" s="9"/>
      <c r="FO502" s="9"/>
      <c r="FP502" s="9"/>
      <c r="FQ502" s="9"/>
      <c r="FR502" s="9"/>
      <c r="FS502" s="9"/>
      <c r="FT502" s="9"/>
      <c r="FU502" s="9"/>
      <c r="FV502" s="9"/>
      <c r="FW502" s="9"/>
      <c r="FX502" s="9"/>
      <c r="FY502" s="9"/>
      <c r="FZ502" s="9"/>
      <c r="GA502" s="9"/>
      <c r="GB502" s="9"/>
      <c r="GC502" s="9"/>
      <c r="GD502" s="9"/>
      <c r="GE502" s="9"/>
      <c r="GF502" s="9"/>
      <c r="GG502" s="9"/>
      <c r="GH502" s="9"/>
      <c r="GI502" s="9"/>
      <c r="GJ502" s="9"/>
      <c r="GK502" s="9"/>
      <c r="GL502" s="9"/>
      <c r="GM502" s="9"/>
      <c r="GN502" s="9"/>
      <c r="GO502" s="9"/>
      <c r="GP502" s="9"/>
      <c r="GQ502" s="9"/>
      <c r="GR502" s="9"/>
      <c r="GS502" s="9"/>
      <c r="GT502" s="9"/>
      <c r="GU502" s="9"/>
      <c r="GV502" s="9"/>
      <c r="GW502" s="9"/>
      <c r="GX502" s="9"/>
      <c r="GY502" s="9"/>
      <c r="GZ502" s="9"/>
      <c r="HA502" s="9"/>
      <c r="HB502" s="9"/>
      <c r="HC502" s="9"/>
      <c r="HD502" s="9"/>
      <c r="HE502" s="9"/>
      <c r="HF502" s="9"/>
      <c r="HG502" s="9"/>
      <c r="HH502" s="9"/>
      <c r="HI502" s="9"/>
      <c r="HJ502" s="9"/>
      <c r="HK502" s="9"/>
      <c r="HL502" s="9"/>
      <c r="HM502" s="9"/>
      <c r="HN502" s="9"/>
      <c r="HO502" s="9"/>
      <c r="HP502" s="9"/>
      <c r="HQ502" s="9"/>
      <c r="HR502" s="9"/>
      <c r="HS502" s="9"/>
      <c r="HT502" s="9"/>
      <c r="HU502" s="9"/>
      <c r="HV502" s="9"/>
      <c r="HW502" s="9"/>
      <c r="HX502" s="9"/>
      <c r="HY502" s="9"/>
      <c r="HZ502" s="9"/>
      <c r="IA502" s="9"/>
      <c r="IB502" s="9"/>
      <c r="IC502" s="9"/>
      <c r="ID502" s="9"/>
      <c r="IE502" s="9"/>
      <c r="IF502" s="9"/>
      <c r="IG502" s="9"/>
      <c r="IH502" s="9"/>
      <c r="II502" s="9"/>
      <c r="IJ502" s="9"/>
      <c r="IK502" s="9"/>
      <c r="IL502" s="9"/>
      <c r="IM502" s="9"/>
      <c r="IN502" s="9"/>
      <c r="IO502" s="9"/>
      <c r="IP502" s="9"/>
      <c r="IQ502" s="9"/>
      <c r="IR502" s="9"/>
      <c r="IS502" s="9"/>
      <c r="IT502" s="9"/>
      <c r="IU502" s="9"/>
      <c r="IV502" s="9"/>
    </row>
    <row r="503" spans="1:256" outlineLevel="1">
      <c r="A503" s="16"/>
      <c r="B503" s="44"/>
      <c r="C503" s="20"/>
      <c r="D503" s="20"/>
      <c r="E503" s="20"/>
      <c r="F503" s="21"/>
      <c r="G503" s="21"/>
      <c r="H503" s="21"/>
      <c r="I503" s="21"/>
      <c r="J503" s="20"/>
      <c r="K503" s="21"/>
      <c r="L503" s="21"/>
      <c r="M503" s="21"/>
      <c r="N503" s="21"/>
      <c r="O503" s="21"/>
      <c r="P503" s="21"/>
      <c r="Q503" s="21"/>
      <c r="R503" s="20"/>
      <c r="S503" s="22">
        <f t="shared" si="34"/>
        <v>0</v>
      </c>
      <c r="T503" s="22">
        <f>COUNTIF($V$4:V503,V503)</f>
        <v>232</v>
      </c>
      <c r="U503" s="22" t="str">
        <f>IF(T503=1,COUNTIF($T$4:T503,1),"")</f>
        <v/>
      </c>
      <c r="V503" s="23" t="str">
        <f t="shared" si="35"/>
        <v/>
      </c>
      <c r="W503" s="23">
        <f t="shared" si="33"/>
        <v>0</v>
      </c>
      <c r="X503" s="24"/>
      <c r="Y503" s="23"/>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c r="EB503" s="9"/>
      <c r="EC503" s="9"/>
      <c r="ED503" s="9"/>
      <c r="EE503" s="9"/>
      <c r="EF503" s="9"/>
      <c r="EG503" s="9"/>
      <c r="EH503" s="9"/>
      <c r="EI503" s="9"/>
      <c r="EJ503" s="9"/>
      <c r="EK503" s="9"/>
      <c r="EL503" s="9"/>
      <c r="EM503" s="9"/>
      <c r="EN503" s="9"/>
      <c r="EO503" s="9"/>
      <c r="EP503" s="9"/>
      <c r="EQ503" s="9"/>
      <c r="ER503" s="9"/>
      <c r="ES503" s="9"/>
      <c r="ET503" s="9"/>
      <c r="EU503" s="9"/>
      <c r="EV503" s="9"/>
      <c r="EW503" s="9"/>
      <c r="EX503" s="9"/>
      <c r="EY503" s="9"/>
      <c r="EZ503" s="9"/>
      <c r="FA503" s="9"/>
      <c r="FB503" s="9"/>
      <c r="FC503" s="9"/>
      <c r="FD503" s="9"/>
      <c r="FE503" s="9"/>
      <c r="FF503" s="9"/>
      <c r="FG503" s="9"/>
      <c r="FH503" s="9"/>
      <c r="FI503" s="9"/>
      <c r="FJ503" s="9"/>
      <c r="FK503" s="9"/>
      <c r="FL503" s="9"/>
      <c r="FM503" s="9"/>
      <c r="FN503" s="9"/>
      <c r="FO503" s="9"/>
      <c r="FP503" s="9"/>
      <c r="FQ503" s="9"/>
      <c r="FR503" s="9"/>
      <c r="FS503" s="9"/>
      <c r="FT503" s="9"/>
      <c r="FU503" s="9"/>
      <c r="FV503" s="9"/>
      <c r="FW503" s="9"/>
      <c r="FX503" s="9"/>
      <c r="FY503" s="9"/>
      <c r="FZ503" s="9"/>
      <c r="GA503" s="9"/>
      <c r="GB503" s="9"/>
      <c r="GC503" s="9"/>
      <c r="GD503" s="9"/>
      <c r="GE503" s="9"/>
      <c r="GF503" s="9"/>
      <c r="GG503" s="9"/>
      <c r="GH503" s="9"/>
      <c r="GI503" s="9"/>
      <c r="GJ503" s="9"/>
      <c r="GK503" s="9"/>
      <c r="GL503" s="9"/>
      <c r="GM503" s="9"/>
      <c r="GN503" s="9"/>
      <c r="GO503" s="9"/>
      <c r="GP503" s="9"/>
      <c r="GQ503" s="9"/>
      <c r="GR503" s="9"/>
      <c r="GS503" s="9"/>
      <c r="GT503" s="9"/>
      <c r="GU503" s="9"/>
      <c r="GV503" s="9"/>
      <c r="GW503" s="9"/>
      <c r="GX503" s="9"/>
      <c r="GY503" s="9"/>
      <c r="GZ503" s="9"/>
      <c r="HA503" s="9"/>
      <c r="HB503" s="9"/>
      <c r="HC503" s="9"/>
      <c r="HD503" s="9"/>
      <c r="HE503" s="9"/>
      <c r="HF503" s="9"/>
      <c r="HG503" s="9"/>
      <c r="HH503" s="9"/>
      <c r="HI503" s="9"/>
      <c r="HJ503" s="9"/>
      <c r="HK503" s="9"/>
      <c r="HL503" s="9"/>
      <c r="HM503" s="9"/>
      <c r="HN503" s="9"/>
      <c r="HO503" s="9"/>
      <c r="HP503" s="9"/>
      <c r="HQ503" s="9"/>
      <c r="HR503" s="9"/>
      <c r="HS503" s="9"/>
      <c r="HT503" s="9"/>
      <c r="HU503" s="9"/>
      <c r="HV503" s="9"/>
      <c r="HW503" s="9"/>
      <c r="HX503" s="9"/>
      <c r="HY503" s="9"/>
      <c r="HZ503" s="9"/>
      <c r="IA503" s="9"/>
      <c r="IB503" s="9"/>
      <c r="IC503" s="9"/>
      <c r="ID503" s="9"/>
      <c r="IE503" s="9"/>
      <c r="IF503" s="9"/>
      <c r="IG503" s="9"/>
      <c r="IH503" s="9"/>
      <c r="II503" s="9"/>
      <c r="IJ503" s="9"/>
      <c r="IK503" s="9"/>
      <c r="IL503" s="9"/>
      <c r="IM503" s="9"/>
      <c r="IN503" s="9"/>
      <c r="IO503" s="9"/>
      <c r="IP503" s="9"/>
      <c r="IQ503" s="9"/>
      <c r="IR503" s="9"/>
      <c r="IS503" s="9"/>
      <c r="IT503" s="9"/>
      <c r="IU503" s="9"/>
      <c r="IV503" s="9"/>
    </row>
    <row r="504" spans="1:256" outlineLevel="1">
      <c r="A504" s="16"/>
      <c r="B504" s="44"/>
      <c r="C504" s="20"/>
      <c r="D504" s="20"/>
      <c r="E504" s="20"/>
      <c r="F504" s="21"/>
      <c r="G504" s="21"/>
      <c r="H504" s="21"/>
      <c r="I504" s="21"/>
      <c r="J504" s="20"/>
      <c r="K504" s="21"/>
      <c r="L504" s="21"/>
      <c r="M504" s="21"/>
      <c r="N504" s="21"/>
      <c r="O504" s="21"/>
      <c r="P504" s="21"/>
      <c r="Q504" s="21"/>
      <c r="R504" s="20"/>
      <c r="S504" s="22">
        <f t="shared" si="34"/>
        <v>0</v>
      </c>
      <c r="T504" s="22">
        <f>COUNTIF($V$4:V504,V504)</f>
        <v>233</v>
      </c>
      <c r="U504" s="22" t="str">
        <f>IF(T504=1,COUNTIF($T$4:T504,1),"")</f>
        <v/>
      </c>
      <c r="V504" s="23" t="str">
        <f t="shared" si="35"/>
        <v/>
      </c>
      <c r="W504" s="23">
        <f t="shared" si="33"/>
        <v>0</v>
      </c>
      <c r="X504" s="24"/>
      <c r="Y504" s="23"/>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c r="EB504" s="9"/>
      <c r="EC504" s="9"/>
      <c r="ED504" s="9"/>
      <c r="EE504" s="9"/>
      <c r="EF504" s="9"/>
      <c r="EG504" s="9"/>
      <c r="EH504" s="9"/>
      <c r="EI504" s="9"/>
      <c r="EJ504" s="9"/>
      <c r="EK504" s="9"/>
      <c r="EL504" s="9"/>
      <c r="EM504" s="9"/>
      <c r="EN504" s="9"/>
      <c r="EO504" s="9"/>
      <c r="EP504" s="9"/>
      <c r="EQ504" s="9"/>
      <c r="ER504" s="9"/>
      <c r="ES504" s="9"/>
      <c r="ET504" s="9"/>
      <c r="EU504" s="9"/>
      <c r="EV504" s="9"/>
      <c r="EW504" s="9"/>
      <c r="EX504" s="9"/>
      <c r="EY504" s="9"/>
      <c r="EZ504" s="9"/>
      <c r="FA504" s="9"/>
      <c r="FB504" s="9"/>
      <c r="FC504" s="9"/>
      <c r="FD504" s="9"/>
      <c r="FE504" s="9"/>
      <c r="FF504" s="9"/>
      <c r="FG504" s="9"/>
      <c r="FH504" s="9"/>
      <c r="FI504" s="9"/>
      <c r="FJ504" s="9"/>
      <c r="FK504" s="9"/>
      <c r="FL504" s="9"/>
      <c r="FM504" s="9"/>
      <c r="FN504" s="9"/>
      <c r="FO504" s="9"/>
      <c r="FP504" s="9"/>
      <c r="FQ504" s="9"/>
      <c r="FR504" s="9"/>
      <c r="FS504" s="9"/>
      <c r="FT504" s="9"/>
      <c r="FU504" s="9"/>
      <c r="FV504" s="9"/>
      <c r="FW504" s="9"/>
      <c r="FX504" s="9"/>
      <c r="FY504" s="9"/>
      <c r="FZ504" s="9"/>
      <c r="GA504" s="9"/>
      <c r="GB504" s="9"/>
      <c r="GC504" s="9"/>
      <c r="GD504" s="9"/>
      <c r="GE504" s="9"/>
      <c r="GF504" s="9"/>
      <c r="GG504" s="9"/>
      <c r="GH504" s="9"/>
      <c r="GI504" s="9"/>
      <c r="GJ504" s="9"/>
      <c r="GK504" s="9"/>
      <c r="GL504" s="9"/>
      <c r="GM504" s="9"/>
      <c r="GN504" s="9"/>
      <c r="GO504" s="9"/>
      <c r="GP504" s="9"/>
      <c r="GQ504" s="9"/>
      <c r="GR504" s="9"/>
      <c r="GS504" s="9"/>
      <c r="GT504" s="9"/>
      <c r="GU504" s="9"/>
      <c r="GV504" s="9"/>
      <c r="GW504" s="9"/>
      <c r="GX504" s="9"/>
      <c r="GY504" s="9"/>
      <c r="GZ504" s="9"/>
      <c r="HA504" s="9"/>
      <c r="HB504" s="9"/>
      <c r="HC504" s="9"/>
      <c r="HD504" s="9"/>
      <c r="HE504" s="9"/>
      <c r="HF504" s="9"/>
      <c r="HG504" s="9"/>
      <c r="HH504" s="9"/>
      <c r="HI504" s="9"/>
      <c r="HJ504" s="9"/>
      <c r="HK504" s="9"/>
      <c r="HL504" s="9"/>
      <c r="HM504" s="9"/>
      <c r="HN504" s="9"/>
      <c r="HO504" s="9"/>
      <c r="HP504" s="9"/>
      <c r="HQ504" s="9"/>
      <c r="HR504" s="9"/>
      <c r="HS504" s="9"/>
      <c r="HT504" s="9"/>
      <c r="HU504" s="9"/>
      <c r="HV504" s="9"/>
      <c r="HW504" s="9"/>
      <c r="HX504" s="9"/>
      <c r="HY504" s="9"/>
      <c r="HZ504" s="9"/>
      <c r="IA504" s="9"/>
      <c r="IB504" s="9"/>
      <c r="IC504" s="9"/>
      <c r="ID504" s="9"/>
      <c r="IE504" s="9"/>
      <c r="IF504" s="9"/>
      <c r="IG504" s="9"/>
      <c r="IH504" s="9"/>
      <c r="II504" s="9"/>
      <c r="IJ504" s="9"/>
      <c r="IK504" s="9"/>
      <c r="IL504" s="9"/>
      <c r="IM504" s="9"/>
      <c r="IN504" s="9"/>
      <c r="IO504" s="9"/>
      <c r="IP504" s="9"/>
      <c r="IQ504" s="9"/>
      <c r="IR504" s="9"/>
      <c r="IS504" s="9"/>
      <c r="IT504" s="9"/>
      <c r="IU504" s="9"/>
      <c r="IV504" s="9"/>
    </row>
    <row r="505" spans="1:256" outlineLevel="1">
      <c r="A505" s="16"/>
      <c r="B505" s="44"/>
      <c r="C505" s="20"/>
      <c r="D505" s="20"/>
      <c r="E505" s="20"/>
      <c r="F505" s="21"/>
      <c r="G505" s="21"/>
      <c r="H505" s="21"/>
      <c r="I505" s="21"/>
      <c r="J505" s="20"/>
      <c r="K505" s="21"/>
      <c r="L505" s="21"/>
      <c r="M505" s="21"/>
      <c r="N505" s="21"/>
      <c r="O505" s="21"/>
      <c r="P505" s="21"/>
      <c r="Q505" s="21"/>
      <c r="R505" s="20"/>
      <c r="S505" s="22">
        <f t="shared" si="34"/>
        <v>0</v>
      </c>
      <c r="T505" s="22">
        <f>COUNTIF($V$4:V505,V505)</f>
        <v>234</v>
      </c>
      <c r="U505" s="22" t="str">
        <f>IF(T505=1,COUNTIF($T$4:T505,1),"")</f>
        <v/>
      </c>
      <c r="V505" s="23" t="str">
        <f t="shared" si="35"/>
        <v/>
      </c>
      <c r="W505" s="23">
        <f t="shared" si="33"/>
        <v>0</v>
      </c>
      <c r="X505" s="24"/>
      <c r="Y505" s="23"/>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c r="EV505" s="9"/>
      <c r="EW505" s="9"/>
      <c r="EX505" s="9"/>
      <c r="EY505" s="9"/>
      <c r="EZ505" s="9"/>
      <c r="FA505" s="9"/>
      <c r="FB505" s="9"/>
      <c r="FC505" s="9"/>
      <c r="FD505" s="9"/>
      <c r="FE505" s="9"/>
      <c r="FF505" s="9"/>
      <c r="FG505" s="9"/>
      <c r="FH505" s="9"/>
      <c r="FI505" s="9"/>
      <c r="FJ505" s="9"/>
      <c r="FK505" s="9"/>
      <c r="FL505" s="9"/>
      <c r="FM505" s="9"/>
      <c r="FN505" s="9"/>
      <c r="FO505" s="9"/>
      <c r="FP505" s="9"/>
      <c r="FQ505" s="9"/>
      <c r="FR505" s="9"/>
      <c r="FS505" s="9"/>
      <c r="FT505" s="9"/>
      <c r="FU505" s="9"/>
      <c r="FV505" s="9"/>
      <c r="FW505" s="9"/>
      <c r="FX505" s="9"/>
      <c r="FY505" s="9"/>
      <c r="FZ505" s="9"/>
      <c r="GA505" s="9"/>
      <c r="GB505" s="9"/>
      <c r="GC505" s="9"/>
      <c r="GD505" s="9"/>
      <c r="GE505" s="9"/>
      <c r="GF505" s="9"/>
      <c r="GG505" s="9"/>
      <c r="GH505" s="9"/>
      <c r="GI505" s="9"/>
      <c r="GJ505" s="9"/>
      <c r="GK505" s="9"/>
      <c r="GL505" s="9"/>
      <c r="GM505" s="9"/>
      <c r="GN505" s="9"/>
      <c r="GO505" s="9"/>
      <c r="GP505" s="9"/>
      <c r="GQ505" s="9"/>
      <c r="GR505" s="9"/>
      <c r="GS505" s="9"/>
      <c r="GT505" s="9"/>
      <c r="GU505" s="9"/>
      <c r="GV505" s="9"/>
      <c r="GW505" s="9"/>
      <c r="GX505" s="9"/>
      <c r="GY505" s="9"/>
      <c r="GZ505" s="9"/>
      <c r="HA505" s="9"/>
      <c r="HB505" s="9"/>
      <c r="HC505" s="9"/>
      <c r="HD505" s="9"/>
      <c r="HE505" s="9"/>
      <c r="HF505" s="9"/>
      <c r="HG505" s="9"/>
      <c r="HH505" s="9"/>
      <c r="HI505" s="9"/>
      <c r="HJ505" s="9"/>
      <c r="HK505" s="9"/>
      <c r="HL505" s="9"/>
      <c r="HM505" s="9"/>
      <c r="HN505" s="9"/>
      <c r="HO505" s="9"/>
      <c r="HP505" s="9"/>
      <c r="HQ505" s="9"/>
      <c r="HR505" s="9"/>
      <c r="HS505" s="9"/>
      <c r="HT505" s="9"/>
      <c r="HU505" s="9"/>
      <c r="HV505" s="9"/>
      <c r="HW505" s="9"/>
      <c r="HX505" s="9"/>
      <c r="HY505" s="9"/>
      <c r="HZ505" s="9"/>
      <c r="IA505" s="9"/>
      <c r="IB505" s="9"/>
      <c r="IC505" s="9"/>
      <c r="ID505" s="9"/>
      <c r="IE505" s="9"/>
      <c r="IF505" s="9"/>
      <c r="IG505" s="9"/>
      <c r="IH505" s="9"/>
      <c r="II505" s="9"/>
      <c r="IJ505" s="9"/>
      <c r="IK505" s="9"/>
      <c r="IL505" s="9"/>
      <c r="IM505" s="9"/>
      <c r="IN505" s="9"/>
      <c r="IO505" s="9"/>
      <c r="IP505" s="9"/>
      <c r="IQ505" s="9"/>
      <c r="IR505" s="9"/>
      <c r="IS505" s="9"/>
      <c r="IT505" s="9"/>
      <c r="IU505" s="9"/>
      <c r="IV505" s="9"/>
    </row>
    <row r="506" spans="1:256" outlineLevel="1">
      <c r="A506" s="16"/>
      <c r="B506" s="44"/>
      <c r="C506" s="20"/>
      <c r="D506" s="20"/>
      <c r="E506" s="20"/>
      <c r="F506" s="21"/>
      <c r="G506" s="21"/>
      <c r="H506" s="21"/>
      <c r="I506" s="21"/>
      <c r="J506" s="20"/>
      <c r="K506" s="21"/>
      <c r="L506" s="21"/>
      <c r="M506" s="21"/>
      <c r="N506" s="21"/>
      <c r="O506" s="21"/>
      <c r="P506" s="21"/>
      <c r="Q506" s="21"/>
      <c r="R506" s="20"/>
      <c r="S506" s="22">
        <f t="shared" si="34"/>
        <v>0</v>
      </c>
      <c r="T506" s="22">
        <f>COUNTIF($V$4:V506,V506)</f>
        <v>235</v>
      </c>
      <c r="U506" s="22" t="str">
        <f>IF(T506=1,COUNTIF($T$4:T506,1),"")</f>
        <v/>
      </c>
      <c r="V506" s="23" t="str">
        <f t="shared" si="35"/>
        <v/>
      </c>
      <c r="W506" s="23">
        <f t="shared" si="33"/>
        <v>0</v>
      </c>
      <c r="X506" s="24"/>
      <c r="Y506" s="23"/>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c r="EV506" s="9"/>
      <c r="EW506" s="9"/>
      <c r="EX506" s="9"/>
      <c r="EY506" s="9"/>
      <c r="EZ506" s="9"/>
      <c r="FA506" s="9"/>
      <c r="FB506" s="9"/>
      <c r="FC506" s="9"/>
      <c r="FD506" s="9"/>
      <c r="FE506" s="9"/>
      <c r="FF506" s="9"/>
      <c r="FG506" s="9"/>
      <c r="FH506" s="9"/>
      <c r="FI506" s="9"/>
      <c r="FJ506" s="9"/>
      <c r="FK506" s="9"/>
      <c r="FL506" s="9"/>
      <c r="FM506" s="9"/>
      <c r="FN506" s="9"/>
      <c r="FO506" s="9"/>
      <c r="FP506" s="9"/>
      <c r="FQ506" s="9"/>
      <c r="FR506" s="9"/>
      <c r="FS506" s="9"/>
      <c r="FT506" s="9"/>
      <c r="FU506" s="9"/>
      <c r="FV506" s="9"/>
      <c r="FW506" s="9"/>
      <c r="FX506" s="9"/>
      <c r="FY506" s="9"/>
      <c r="FZ506" s="9"/>
      <c r="GA506" s="9"/>
      <c r="GB506" s="9"/>
      <c r="GC506" s="9"/>
      <c r="GD506" s="9"/>
      <c r="GE506" s="9"/>
      <c r="GF506" s="9"/>
      <c r="GG506" s="9"/>
      <c r="GH506" s="9"/>
      <c r="GI506" s="9"/>
      <c r="GJ506" s="9"/>
      <c r="GK506" s="9"/>
      <c r="GL506" s="9"/>
      <c r="GM506" s="9"/>
      <c r="GN506" s="9"/>
      <c r="GO506" s="9"/>
      <c r="GP506" s="9"/>
      <c r="GQ506" s="9"/>
      <c r="GR506" s="9"/>
      <c r="GS506" s="9"/>
      <c r="GT506" s="9"/>
      <c r="GU506" s="9"/>
      <c r="GV506" s="9"/>
      <c r="GW506" s="9"/>
      <c r="GX506" s="9"/>
      <c r="GY506" s="9"/>
      <c r="GZ506" s="9"/>
      <c r="HA506" s="9"/>
      <c r="HB506" s="9"/>
      <c r="HC506" s="9"/>
      <c r="HD506" s="9"/>
      <c r="HE506" s="9"/>
      <c r="HF506" s="9"/>
      <c r="HG506" s="9"/>
      <c r="HH506" s="9"/>
      <c r="HI506" s="9"/>
      <c r="HJ506" s="9"/>
      <c r="HK506" s="9"/>
      <c r="HL506" s="9"/>
      <c r="HM506" s="9"/>
      <c r="HN506" s="9"/>
      <c r="HO506" s="9"/>
      <c r="HP506" s="9"/>
      <c r="HQ506" s="9"/>
      <c r="HR506" s="9"/>
      <c r="HS506" s="9"/>
      <c r="HT506" s="9"/>
      <c r="HU506" s="9"/>
      <c r="HV506" s="9"/>
      <c r="HW506" s="9"/>
      <c r="HX506" s="9"/>
      <c r="HY506" s="9"/>
      <c r="HZ506" s="9"/>
      <c r="IA506" s="9"/>
      <c r="IB506" s="9"/>
      <c r="IC506" s="9"/>
      <c r="ID506" s="9"/>
      <c r="IE506" s="9"/>
      <c r="IF506" s="9"/>
      <c r="IG506" s="9"/>
      <c r="IH506" s="9"/>
      <c r="II506" s="9"/>
      <c r="IJ506" s="9"/>
      <c r="IK506" s="9"/>
      <c r="IL506" s="9"/>
      <c r="IM506" s="9"/>
      <c r="IN506" s="9"/>
      <c r="IO506" s="9"/>
      <c r="IP506" s="9"/>
      <c r="IQ506" s="9"/>
      <c r="IR506" s="9"/>
      <c r="IS506" s="9"/>
      <c r="IT506" s="9"/>
      <c r="IU506" s="9"/>
      <c r="IV506" s="9"/>
    </row>
    <row r="507" spans="1:256" outlineLevel="1">
      <c r="A507" s="16"/>
      <c r="B507" s="44"/>
      <c r="C507" s="20"/>
      <c r="D507" s="20"/>
      <c r="E507" s="20"/>
      <c r="F507" s="21"/>
      <c r="G507" s="21"/>
      <c r="H507" s="21"/>
      <c r="I507" s="21"/>
      <c r="J507" s="20"/>
      <c r="K507" s="21"/>
      <c r="L507" s="21"/>
      <c r="M507" s="21"/>
      <c r="N507" s="21"/>
      <c r="O507" s="21"/>
      <c r="P507" s="21"/>
      <c r="Q507" s="21"/>
      <c r="R507" s="20"/>
      <c r="S507" s="22">
        <f t="shared" si="34"/>
        <v>0</v>
      </c>
      <c r="T507" s="22">
        <f>COUNTIF($V$4:V507,V507)</f>
        <v>236</v>
      </c>
      <c r="U507" s="22" t="str">
        <f>IF(T507=1,COUNTIF($T$4:T507,1),"")</f>
        <v/>
      </c>
      <c r="V507" s="23" t="str">
        <f t="shared" si="35"/>
        <v/>
      </c>
      <c r="W507" s="23">
        <f t="shared" si="33"/>
        <v>0</v>
      </c>
      <c r="X507" s="24"/>
      <c r="Y507" s="23"/>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c r="EV507" s="9"/>
      <c r="EW507" s="9"/>
      <c r="EX507" s="9"/>
      <c r="EY507" s="9"/>
      <c r="EZ507" s="9"/>
      <c r="FA507" s="9"/>
      <c r="FB507" s="9"/>
      <c r="FC507" s="9"/>
      <c r="FD507" s="9"/>
      <c r="FE507" s="9"/>
      <c r="FF507" s="9"/>
      <c r="FG507" s="9"/>
      <c r="FH507" s="9"/>
      <c r="FI507" s="9"/>
      <c r="FJ507" s="9"/>
      <c r="FK507" s="9"/>
      <c r="FL507" s="9"/>
      <c r="FM507" s="9"/>
      <c r="FN507" s="9"/>
      <c r="FO507" s="9"/>
      <c r="FP507" s="9"/>
      <c r="FQ507" s="9"/>
      <c r="FR507" s="9"/>
      <c r="FS507" s="9"/>
      <c r="FT507" s="9"/>
      <c r="FU507" s="9"/>
      <c r="FV507" s="9"/>
      <c r="FW507" s="9"/>
      <c r="FX507" s="9"/>
      <c r="FY507" s="9"/>
      <c r="FZ507" s="9"/>
      <c r="GA507" s="9"/>
      <c r="GB507" s="9"/>
      <c r="GC507" s="9"/>
      <c r="GD507" s="9"/>
      <c r="GE507" s="9"/>
      <c r="GF507" s="9"/>
      <c r="GG507" s="9"/>
      <c r="GH507" s="9"/>
      <c r="GI507" s="9"/>
      <c r="GJ507" s="9"/>
      <c r="GK507" s="9"/>
      <c r="GL507" s="9"/>
      <c r="GM507" s="9"/>
      <c r="GN507" s="9"/>
      <c r="GO507" s="9"/>
      <c r="GP507" s="9"/>
      <c r="GQ507" s="9"/>
      <c r="GR507" s="9"/>
      <c r="GS507" s="9"/>
      <c r="GT507" s="9"/>
      <c r="GU507" s="9"/>
      <c r="GV507" s="9"/>
      <c r="GW507" s="9"/>
      <c r="GX507" s="9"/>
      <c r="GY507" s="9"/>
      <c r="GZ507" s="9"/>
      <c r="HA507" s="9"/>
      <c r="HB507" s="9"/>
      <c r="HC507" s="9"/>
      <c r="HD507" s="9"/>
      <c r="HE507" s="9"/>
      <c r="HF507" s="9"/>
      <c r="HG507" s="9"/>
      <c r="HH507" s="9"/>
      <c r="HI507" s="9"/>
      <c r="HJ507" s="9"/>
      <c r="HK507" s="9"/>
      <c r="HL507" s="9"/>
      <c r="HM507" s="9"/>
      <c r="HN507" s="9"/>
      <c r="HO507" s="9"/>
      <c r="HP507" s="9"/>
      <c r="HQ507" s="9"/>
      <c r="HR507" s="9"/>
      <c r="HS507" s="9"/>
      <c r="HT507" s="9"/>
      <c r="HU507" s="9"/>
      <c r="HV507" s="9"/>
      <c r="HW507" s="9"/>
      <c r="HX507" s="9"/>
      <c r="HY507" s="9"/>
      <c r="HZ507" s="9"/>
      <c r="IA507" s="9"/>
      <c r="IB507" s="9"/>
      <c r="IC507" s="9"/>
      <c r="ID507" s="9"/>
      <c r="IE507" s="9"/>
      <c r="IF507" s="9"/>
      <c r="IG507" s="9"/>
      <c r="IH507" s="9"/>
      <c r="II507" s="9"/>
      <c r="IJ507" s="9"/>
      <c r="IK507" s="9"/>
      <c r="IL507" s="9"/>
      <c r="IM507" s="9"/>
      <c r="IN507" s="9"/>
      <c r="IO507" s="9"/>
      <c r="IP507" s="9"/>
      <c r="IQ507" s="9"/>
      <c r="IR507" s="9"/>
      <c r="IS507" s="9"/>
      <c r="IT507" s="9"/>
      <c r="IU507" s="9"/>
      <c r="IV507" s="9"/>
    </row>
    <row r="508" spans="1:256" outlineLevel="1">
      <c r="A508" s="16"/>
      <c r="B508" s="44"/>
      <c r="C508" s="20"/>
      <c r="D508" s="20"/>
      <c r="E508" s="20"/>
      <c r="F508" s="21"/>
      <c r="G508" s="21"/>
      <c r="H508" s="21"/>
      <c r="I508" s="21"/>
      <c r="J508" s="20"/>
      <c r="K508" s="21"/>
      <c r="L508" s="21"/>
      <c r="M508" s="21"/>
      <c r="N508" s="21"/>
      <c r="O508" s="21"/>
      <c r="P508" s="21"/>
      <c r="Q508" s="21"/>
      <c r="R508" s="20"/>
      <c r="S508" s="22">
        <f t="shared" si="34"/>
        <v>0</v>
      </c>
      <c r="T508" s="22">
        <f>COUNTIF($V$4:V508,V508)</f>
        <v>237</v>
      </c>
      <c r="U508" s="22" t="str">
        <f>IF(T508=1,COUNTIF($T$4:T508,1),"")</f>
        <v/>
      </c>
      <c r="V508" s="23" t="str">
        <f t="shared" si="35"/>
        <v/>
      </c>
      <c r="W508" s="23">
        <f t="shared" si="33"/>
        <v>0</v>
      </c>
      <c r="X508" s="24"/>
      <c r="Y508" s="23"/>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c r="EV508" s="9"/>
      <c r="EW508" s="9"/>
      <c r="EX508" s="9"/>
      <c r="EY508" s="9"/>
      <c r="EZ508" s="9"/>
      <c r="FA508" s="9"/>
      <c r="FB508" s="9"/>
      <c r="FC508" s="9"/>
      <c r="FD508" s="9"/>
      <c r="FE508" s="9"/>
      <c r="FF508" s="9"/>
      <c r="FG508" s="9"/>
      <c r="FH508" s="9"/>
      <c r="FI508" s="9"/>
      <c r="FJ508" s="9"/>
      <c r="FK508" s="9"/>
      <c r="FL508" s="9"/>
      <c r="FM508" s="9"/>
      <c r="FN508" s="9"/>
      <c r="FO508" s="9"/>
      <c r="FP508" s="9"/>
      <c r="FQ508" s="9"/>
      <c r="FR508" s="9"/>
      <c r="FS508" s="9"/>
      <c r="FT508" s="9"/>
      <c r="FU508" s="9"/>
      <c r="FV508" s="9"/>
      <c r="FW508" s="9"/>
      <c r="FX508" s="9"/>
      <c r="FY508" s="9"/>
      <c r="FZ508" s="9"/>
      <c r="GA508" s="9"/>
      <c r="GB508" s="9"/>
      <c r="GC508" s="9"/>
      <c r="GD508" s="9"/>
      <c r="GE508" s="9"/>
      <c r="GF508" s="9"/>
      <c r="GG508" s="9"/>
      <c r="GH508" s="9"/>
      <c r="GI508" s="9"/>
      <c r="GJ508" s="9"/>
      <c r="GK508" s="9"/>
      <c r="GL508" s="9"/>
      <c r="GM508" s="9"/>
      <c r="GN508" s="9"/>
      <c r="GO508" s="9"/>
      <c r="GP508" s="9"/>
      <c r="GQ508" s="9"/>
      <c r="GR508" s="9"/>
      <c r="GS508" s="9"/>
      <c r="GT508" s="9"/>
      <c r="GU508" s="9"/>
      <c r="GV508" s="9"/>
      <c r="GW508" s="9"/>
      <c r="GX508" s="9"/>
      <c r="GY508" s="9"/>
      <c r="GZ508" s="9"/>
      <c r="HA508" s="9"/>
      <c r="HB508" s="9"/>
      <c r="HC508" s="9"/>
      <c r="HD508" s="9"/>
      <c r="HE508" s="9"/>
      <c r="HF508" s="9"/>
      <c r="HG508" s="9"/>
      <c r="HH508" s="9"/>
      <c r="HI508" s="9"/>
      <c r="HJ508" s="9"/>
      <c r="HK508" s="9"/>
      <c r="HL508" s="9"/>
      <c r="HM508" s="9"/>
      <c r="HN508" s="9"/>
      <c r="HO508" s="9"/>
      <c r="HP508" s="9"/>
      <c r="HQ508" s="9"/>
      <c r="HR508" s="9"/>
      <c r="HS508" s="9"/>
      <c r="HT508" s="9"/>
      <c r="HU508" s="9"/>
      <c r="HV508" s="9"/>
      <c r="HW508" s="9"/>
      <c r="HX508" s="9"/>
      <c r="HY508" s="9"/>
      <c r="HZ508" s="9"/>
      <c r="IA508" s="9"/>
      <c r="IB508" s="9"/>
      <c r="IC508" s="9"/>
      <c r="ID508" s="9"/>
      <c r="IE508" s="9"/>
      <c r="IF508" s="9"/>
      <c r="IG508" s="9"/>
      <c r="IH508" s="9"/>
      <c r="II508" s="9"/>
      <c r="IJ508" s="9"/>
      <c r="IK508" s="9"/>
      <c r="IL508" s="9"/>
      <c r="IM508" s="9"/>
      <c r="IN508" s="9"/>
      <c r="IO508" s="9"/>
      <c r="IP508" s="9"/>
      <c r="IQ508" s="9"/>
      <c r="IR508" s="9"/>
      <c r="IS508" s="9"/>
      <c r="IT508" s="9"/>
      <c r="IU508" s="9"/>
      <c r="IV508" s="9"/>
    </row>
    <row r="509" spans="1:256" outlineLevel="1">
      <c r="A509" s="16"/>
      <c r="B509" s="44"/>
      <c r="C509" s="20"/>
      <c r="D509" s="20"/>
      <c r="E509" s="20"/>
      <c r="F509" s="21"/>
      <c r="G509" s="21"/>
      <c r="H509" s="21"/>
      <c r="I509" s="21"/>
      <c r="J509" s="20"/>
      <c r="K509" s="21"/>
      <c r="L509" s="21"/>
      <c r="M509" s="21"/>
      <c r="N509" s="21"/>
      <c r="O509" s="21"/>
      <c r="P509" s="21"/>
      <c r="Q509" s="21"/>
      <c r="R509" s="20"/>
      <c r="S509" s="22">
        <f t="shared" si="34"/>
        <v>0</v>
      </c>
      <c r="T509" s="22">
        <f>COUNTIF($V$4:V509,V509)</f>
        <v>238</v>
      </c>
      <c r="U509" s="22" t="str">
        <f>IF(T509=1,COUNTIF($T$4:T509,1),"")</f>
        <v/>
      </c>
      <c r="V509" s="23" t="str">
        <f t="shared" si="35"/>
        <v/>
      </c>
      <c r="W509" s="23">
        <f t="shared" si="33"/>
        <v>0</v>
      </c>
      <c r="X509" s="24"/>
      <c r="Y509" s="23"/>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c r="EV509" s="9"/>
      <c r="EW509" s="9"/>
      <c r="EX509" s="9"/>
      <c r="EY509" s="9"/>
      <c r="EZ509" s="9"/>
      <c r="FA509" s="9"/>
      <c r="FB509" s="9"/>
      <c r="FC509" s="9"/>
      <c r="FD509" s="9"/>
      <c r="FE509" s="9"/>
      <c r="FF509" s="9"/>
      <c r="FG509" s="9"/>
      <c r="FH509" s="9"/>
      <c r="FI509" s="9"/>
      <c r="FJ509" s="9"/>
      <c r="FK509" s="9"/>
      <c r="FL509" s="9"/>
      <c r="FM509" s="9"/>
      <c r="FN509" s="9"/>
      <c r="FO509" s="9"/>
      <c r="FP509" s="9"/>
      <c r="FQ509" s="9"/>
      <c r="FR509" s="9"/>
      <c r="FS509" s="9"/>
      <c r="FT509" s="9"/>
      <c r="FU509" s="9"/>
      <c r="FV509" s="9"/>
      <c r="FW509" s="9"/>
      <c r="FX509" s="9"/>
      <c r="FY509" s="9"/>
      <c r="FZ509" s="9"/>
      <c r="GA509" s="9"/>
      <c r="GB509" s="9"/>
      <c r="GC509" s="9"/>
      <c r="GD509" s="9"/>
      <c r="GE509" s="9"/>
      <c r="GF509" s="9"/>
      <c r="GG509" s="9"/>
      <c r="GH509" s="9"/>
      <c r="GI509" s="9"/>
      <c r="GJ509" s="9"/>
      <c r="GK509" s="9"/>
      <c r="GL509" s="9"/>
      <c r="GM509" s="9"/>
      <c r="GN509" s="9"/>
      <c r="GO509" s="9"/>
      <c r="GP509" s="9"/>
      <c r="GQ509" s="9"/>
      <c r="GR509" s="9"/>
      <c r="GS509" s="9"/>
      <c r="GT509" s="9"/>
      <c r="GU509" s="9"/>
      <c r="GV509" s="9"/>
      <c r="GW509" s="9"/>
      <c r="GX509" s="9"/>
      <c r="GY509" s="9"/>
      <c r="GZ509" s="9"/>
      <c r="HA509" s="9"/>
      <c r="HB509" s="9"/>
      <c r="HC509" s="9"/>
      <c r="HD509" s="9"/>
      <c r="HE509" s="9"/>
      <c r="HF509" s="9"/>
      <c r="HG509" s="9"/>
      <c r="HH509" s="9"/>
      <c r="HI509" s="9"/>
      <c r="HJ509" s="9"/>
      <c r="HK509" s="9"/>
      <c r="HL509" s="9"/>
      <c r="HM509" s="9"/>
      <c r="HN509" s="9"/>
      <c r="HO509" s="9"/>
      <c r="HP509" s="9"/>
      <c r="HQ509" s="9"/>
      <c r="HR509" s="9"/>
      <c r="HS509" s="9"/>
      <c r="HT509" s="9"/>
      <c r="HU509" s="9"/>
      <c r="HV509" s="9"/>
      <c r="HW509" s="9"/>
      <c r="HX509" s="9"/>
      <c r="HY509" s="9"/>
      <c r="HZ509" s="9"/>
      <c r="IA509" s="9"/>
      <c r="IB509" s="9"/>
      <c r="IC509" s="9"/>
      <c r="ID509" s="9"/>
      <c r="IE509" s="9"/>
      <c r="IF509" s="9"/>
      <c r="IG509" s="9"/>
      <c r="IH509" s="9"/>
      <c r="II509" s="9"/>
      <c r="IJ509" s="9"/>
      <c r="IK509" s="9"/>
      <c r="IL509" s="9"/>
      <c r="IM509" s="9"/>
      <c r="IN509" s="9"/>
      <c r="IO509" s="9"/>
      <c r="IP509" s="9"/>
      <c r="IQ509" s="9"/>
      <c r="IR509" s="9"/>
      <c r="IS509" s="9"/>
      <c r="IT509" s="9"/>
      <c r="IU509" s="9"/>
      <c r="IV509" s="9"/>
    </row>
    <row r="510" spans="1:256" outlineLevel="1">
      <c r="A510" s="16"/>
      <c r="B510" s="44"/>
      <c r="C510" s="20"/>
      <c r="D510" s="20"/>
      <c r="E510" s="20"/>
      <c r="F510" s="21"/>
      <c r="G510" s="21"/>
      <c r="H510" s="21"/>
      <c r="I510" s="21"/>
      <c r="J510" s="20"/>
      <c r="K510" s="21"/>
      <c r="L510" s="21"/>
      <c r="M510" s="39"/>
      <c r="N510" s="39"/>
      <c r="O510" s="39"/>
      <c r="P510" s="21"/>
      <c r="Q510" s="21"/>
      <c r="R510" s="20"/>
      <c r="S510" s="22">
        <f t="shared" si="34"/>
        <v>0</v>
      </c>
      <c r="T510" s="22">
        <f>COUNTIF($V$4:V510,V510)</f>
        <v>239</v>
      </c>
      <c r="U510" s="22" t="str">
        <f>IF(T510=1,COUNTIF($T$4:T510,1),"")</f>
        <v/>
      </c>
      <c r="V510" s="23" t="str">
        <f t="shared" si="35"/>
        <v/>
      </c>
      <c r="W510" s="23">
        <f t="shared" si="33"/>
        <v>0</v>
      </c>
      <c r="X510" s="24"/>
      <c r="Y510" s="23"/>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c r="EB510" s="9"/>
      <c r="EC510" s="9"/>
      <c r="ED510" s="9"/>
      <c r="EE510" s="9"/>
      <c r="EF510" s="9"/>
      <c r="EG510" s="9"/>
      <c r="EH510" s="9"/>
      <c r="EI510" s="9"/>
      <c r="EJ510" s="9"/>
      <c r="EK510" s="9"/>
      <c r="EL510" s="9"/>
      <c r="EM510" s="9"/>
      <c r="EN510" s="9"/>
      <c r="EO510" s="9"/>
      <c r="EP510" s="9"/>
      <c r="EQ510" s="9"/>
      <c r="ER510" s="9"/>
      <c r="ES510" s="9"/>
      <c r="ET510" s="9"/>
      <c r="EU510" s="9"/>
      <c r="EV510" s="9"/>
      <c r="EW510" s="9"/>
      <c r="EX510" s="9"/>
      <c r="EY510" s="9"/>
      <c r="EZ510" s="9"/>
      <c r="FA510" s="9"/>
      <c r="FB510" s="9"/>
      <c r="FC510" s="9"/>
      <c r="FD510" s="9"/>
      <c r="FE510" s="9"/>
      <c r="FF510" s="9"/>
      <c r="FG510" s="9"/>
      <c r="FH510" s="9"/>
      <c r="FI510" s="9"/>
      <c r="FJ510" s="9"/>
      <c r="FK510" s="9"/>
      <c r="FL510" s="9"/>
      <c r="FM510" s="9"/>
      <c r="FN510" s="9"/>
      <c r="FO510" s="9"/>
      <c r="FP510" s="9"/>
      <c r="FQ510" s="9"/>
      <c r="FR510" s="9"/>
      <c r="FS510" s="9"/>
      <c r="FT510" s="9"/>
      <c r="FU510" s="9"/>
      <c r="FV510" s="9"/>
      <c r="FW510" s="9"/>
      <c r="FX510" s="9"/>
      <c r="FY510" s="9"/>
      <c r="FZ510" s="9"/>
      <c r="GA510" s="9"/>
      <c r="GB510" s="9"/>
      <c r="GC510" s="9"/>
      <c r="GD510" s="9"/>
      <c r="GE510" s="9"/>
      <c r="GF510" s="9"/>
      <c r="GG510" s="9"/>
      <c r="GH510" s="9"/>
      <c r="GI510" s="9"/>
      <c r="GJ510" s="9"/>
      <c r="GK510" s="9"/>
      <c r="GL510" s="9"/>
      <c r="GM510" s="9"/>
      <c r="GN510" s="9"/>
      <c r="GO510" s="9"/>
      <c r="GP510" s="9"/>
      <c r="GQ510" s="9"/>
      <c r="GR510" s="9"/>
      <c r="GS510" s="9"/>
      <c r="GT510" s="9"/>
      <c r="GU510" s="9"/>
      <c r="GV510" s="9"/>
      <c r="GW510" s="9"/>
      <c r="GX510" s="9"/>
      <c r="GY510" s="9"/>
      <c r="GZ510" s="9"/>
      <c r="HA510" s="9"/>
      <c r="HB510" s="9"/>
      <c r="HC510" s="9"/>
      <c r="HD510" s="9"/>
      <c r="HE510" s="9"/>
      <c r="HF510" s="9"/>
      <c r="HG510" s="9"/>
      <c r="HH510" s="9"/>
      <c r="HI510" s="9"/>
      <c r="HJ510" s="9"/>
      <c r="HK510" s="9"/>
      <c r="HL510" s="9"/>
      <c r="HM510" s="9"/>
      <c r="HN510" s="9"/>
      <c r="HO510" s="9"/>
      <c r="HP510" s="9"/>
      <c r="HQ510" s="9"/>
      <c r="HR510" s="9"/>
      <c r="HS510" s="9"/>
      <c r="HT510" s="9"/>
      <c r="HU510" s="9"/>
      <c r="HV510" s="9"/>
      <c r="HW510" s="9"/>
      <c r="HX510" s="9"/>
      <c r="HY510" s="9"/>
      <c r="HZ510" s="9"/>
      <c r="IA510" s="9"/>
      <c r="IB510" s="9"/>
      <c r="IC510" s="9"/>
      <c r="ID510" s="9"/>
      <c r="IE510" s="9"/>
      <c r="IF510" s="9"/>
      <c r="IG510" s="9"/>
      <c r="IH510" s="9"/>
      <c r="II510" s="9"/>
      <c r="IJ510" s="9"/>
      <c r="IK510" s="9"/>
      <c r="IL510" s="9"/>
      <c r="IM510" s="9"/>
      <c r="IN510" s="9"/>
      <c r="IO510" s="9"/>
      <c r="IP510" s="9"/>
      <c r="IQ510" s="9"/>
      <c r="IR510" s="9"/>
      <c r="IS510" s="9"/>
      <c r="IT510" s="9"/>
      <c r="IU510" s="9"/>
      <c r="IV510" s="9"/>
    </row>
    <row r="511" spans="1:256" outlineLevel="1">
      <c r="A511" s="16"/>
      <c r="B511" s="44"/>
      <c r="C511" s="20"/>
      <c r="D511" s="20"/>
      <c r="E511" s="20"/>
      <c r="F511" s="21"/>
      <c r="G511" s="21"/>
      <c r="H511" s="21"/>
      <c r="I511" s="21"/>
      <c r="J511" s="20"/>
      <c r="K511" s="21"/>
      <c r="L511" s="21"/>
      <c r="M511" s="39"/>
      <c r="N511" s="39"/>
      <c r="O511" s="39"/>
      <c r="P511" s="21"/>
      <c r="Q511" s="21"/>
      <c r="R511" s="20"/>
      <c r="S511" s="22">
        <f t="shared" si="34"/>
        <v>0</v>
      </c>
      <c r="T511" s="22">
        <f>COUNTIF($V$4:V511,V511)</f>
        <v>240</v>
      </c>
      <c r="U511" s="22" t="str">
        <f>IF(T511=1,COUNTIF($T$4:T511,1),"")</f>
        <v/>
      </c>
      <c r="V511" s="23" t="str">
        <f t="shared" si="35"/>
        <v/>
      </c>
      <c r="W511" s="23">
        <f t="shared" si="33"/>
        <v>0</v>
      </c>
      <c r="X511" s="24"/>
      <c r="Y511" s="23"/>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c r="EB511" s="9"/>
      <c r="EC511" s="9"/>
      <c r="ED511" s="9"/>
      <c r="EE511" s="9"/>
      <c r="EF511" s="9"/>
      <c r="EG511" s="9"/>
      <c r="EH511" s="9"/>
      <c r="EI511" s="9"/>
      <c r="EJ511" s="9"/>
      <c r="EK511" s="9"/>
      <c r="EL511" s="9"/>
      <c r="EM511" s="9"/>
      <c r="EN511" s="9"/>
      <c r="EO511" s="9"/>
      <c r="EP511" s="9"/>
      <c r="EQ511" s="9"/>
      <c r="ER511" s="9"/>
      <c r="ES511" s="9"/>
      <c r="ET511" s="9"/>
      <c r="EU511" s="9"/>
      <c r="EV511" s="9"/>
      <c r="EW511" s="9"/>
      <c r="EX511" s="9"/>
      <c r="EY511" s="9"/>
      <c r="EZ511" s="9"/>
      <c r="FA511" s="9"/>
      <c r="FB511" s="9"/>
      <c r="FC511" s="9"/>
      <c r="FD511" s="9"/>
      <c r="FE511" s="9"/>
      <c r="FF511" s="9"/>
      <c r="FG511" s="9"/>
      <c r="FH511" s="9"/>
      <c r="FI511" s="9"/>
      <c r="FJ511" s="9"/>
      <c r="FK511" s="9"/>
      <c r="FL511" s="9"/>
      <c r="FM511" s="9"/>
      <c r="FN511" s="9"/>
      <c r="FO511" s="9"/>
      <c r="FP511" s="9"/>
      <c r="FQ511" s="9"/>
      <c r="FR511" s="9"/>
      <c r="FS511" s="9"/>
      <c r="FT511" s="9"/>
      <c r="FU511" s="9"/>
      <c r="FV511" s="9"/>
      <c r="FW511" s="9"/>
      <c r="FX511" s="9"/>
      <c r="FY511" s="9"/>
      <c r="FZ511" s="9"/>
      <c r="GA511" s="9"/>
      <c r="GB511" s="9"/>
      <c r="GC511" s="9"/>
      <c r="GD511" s="9"/>
      <c r="GE511" s="9"/>
      <c r="GF511" s="9"/>
      <c r="GG511" s="9"/>
      <c r="GH511" s="9"/>
      <c r="GI511" s="9"/>
      <c r="GJ511" s="9"/>
      <c r="GK511" s="9"/>
      <c r="GL511" s="9"/>
      <c r="GM511" s="9"/>
      <c r="GN511" s="9"/>
      <c r="GO511" s="9"/>
      <c r="GP511" s="9"/>
      <c r="GQ511" s="9"/>
      <c r="GR511" s="9"/>
      <c r="GS511" s="9"/>
      <c r="GT511" s="9"/>
      <c r="GU511" s="9"/>
      <c r="GV511" s="9"/>
      <c r="GW511" s="9"/>
      <c r="GX511" s="9"/>
      <c r="GY511" s="9"/>
      <c r="GZ511" s="9"/>
      <c r="HA511" s="9"/>
      <c r="HB511" s="9"/>
      <c r="HC511" s="9"/>
      <c r="HD511" s="9"/>
      <c r="HE511" s="9"/>
      <c r="HF511" s="9"/>
      <c r="HG511" s="9"/>
      <c r="HH511" s="9"/>
      <c r="HI511" s="9"/>
      <c r="HJ511" s="9"/>
      <c r="HK511" s="9"/>
      <c r="HL511" s="9"/>
      <c r="HM511" s="9"/>
      <c r="HN511" s="9"/>
      <c r="HO511" s="9"/>
      <c r="HP511" s="9"/>
      <c r="HQ511" s="9"/>
      <c r="HR511" s="9"/>
      <c r="HS511" s="9"/>
      <c r="HT511" s="9"/>
      <c r="HU511" s="9"/>
      <c r="HV511" s="9"/>
      <c r="HW511" s="9"/>
      <c r="HX511" s="9"/>
      <c r="HY511" s="9"/>
      <c r="HZ511" s="9"/>
      <c r="IA511" s="9"/>
      <c r="IB511" s="9"/>
      <c r="IC511" s="9"/>
      <c r="ID511" s="9"/>
      <c r="IE511" s="9"/>
      <c r="IF511" s="9"/>
      <c r="IG511" s="9"/>
      <c r="IH511" s="9"/>
      <c r="II511" s="9"/>
      <c r="IJ511" s="9"/>
      <c r="IK511" s="9"/>
      <c r="IL511" s="9"/>
      <c r="IM511" s="9"/>
      <c r="IN511" s="9"/>
      <c r="IO511" s="9"/>
      <c r="IP511" s="9"/>
      <c r="IQ511" s="9"/>
      <c r="IR511" s="9"/>
      <c r="IS511" s="9"/>
      <c r="IT511" s="9"/>
      <c r="IU511" s="9"/>
      <c r="IV511" s="9"/>
    </row>
    <row r="512" spans="1:256" outlineLevel="1">
      <c r="A512" s="16"/>
      <c r="B512" s="44"/>
      <c r="C512" s="20"/>
      <c r="D512" s="20"/>
      <c r="E512" s="20"/>
      <c r="F512" s="21"/>
      <c r="G512" s="21"/>
      <c r="H512" s="21"/>
      <c r="I512" s="21"/>
      <c r="J512" s="20"/>
      <c r="K512" s="21"/>
      <c r="L512" s="21"/>
      <c r="M512" s="39"/>
      <c r="N512" s="39"/>
      <c r="O512" s="39"/>
      <c r="P512" s="21"/>
      <c r="Q512" s="21"/>
      <c r="R512" s="20"/>
      <c r="S512" s="22">
        <f t="shared" si="34"/>
        <v>0</v>
      </c>
      <c r="T512" s="22">
        <f>COUNTIF($V$4:V512,V512)</f>
        <v>241</v>
      </c>
      <c r="U512" s="22" t="str">
        <f>IF(T512=1,COUNTIF($T$4:T512,1),"")</f>
        <v/>
      </c>
      <c r="V512" s="23" t="str">
        <f t="shared" si="35"/>
        <v/>
      </c>
      <c r="W512" s="23">
        <f t="shared" si="33"/>
        <v>0</v>
      </c>
      <c r="X512" s="24"/>
      <c r="Y512" s="23"/>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c r="EV512" s="9"/>
      <c r="EW512" s="9"/>
      <c r="EX512" s="9"/>
      <c r="EY512" s="9"/>
      <c r="EZ512" s="9"/>
      <c r="FA512" s="9"/>
      <c r="FB512" s="9"/>
      <c r="FC512" s="9"/>
      <c r="FD512" s="9"/>
      <c r="FE512" s="9"/>
      <c r="FF512" s="9"/>
      <c r="FG512" s="9"/>
      <c r="FH512" s="9"/>
      <c r="FI512" s="9"/>
      <c r="FJ512" s="9"/>
      <c r="FK512" s="9"/>
      <c r="FL512" s="9"/>
      <c r="FM512" s="9"/>
      <c r="FN512" s="9"/>
      <c r="FO512" s="9"/>
      <c r="FP512" s="9"/>
      <c r="FQ512" s="9"/>
      <c r="FR512" s="9"/>
      <c r="FS512" s="9"/>
      <c r="FT512" s="9"/>
      <c r="FU512" s="9"/>
      <c r="FV512" s="9"/>
      <c r="FW512" s="9"/>
      <c r="FX512" s="9"/>
      <c r="FY512" s="9"/>
      <c r="FZ512" s="9"/>
      <c r="GA512" s="9"/>
      <c r="GB512" s="9"/>
      <c r="GC512" s="9"/>
      <c r="GD512" s="9"/>
      <c r="GE512" s="9"/>
      <c r="GF512" s="9"/>
      <c r="GG512" s="9"/>
      <c r="GH512" s="9"/>
      <c r="GI512" s="9"/>
      <c r="GJ512" s="9"/>
      <c r="GK512" s="9"/>
      <c r="GL512" s="9"/>
      <c r="GM512" s="9"/>
      <c r="GN512" s="9"/>
      <c r="GO512" s="9"/>
      <c r="GP512" s="9"/>
      <c r="GQ512" s="9"/>
      <c r="GR512" s="9"/>
      <c r="GS512" s="9"/>
      <c r="GT512" s="9"/>
      <c r="GU512" s="9"/>
      <c r="GV512" s="9"/>
      <c r="GW512" s="9"/>
      <c r="GX512" s="9"/>
      <c r="GY512" s="9"/>
      <c r="GZ512" s="9"/>
      <c r="HA512" s="9"/>
      <c r="HB512" s="9"/>
      <c r="HC512" s="9"/>
      <c r="HD512" s="9"/>
      <c r="HE512" s="9"/>
      <c r="HF512" s="9"/>
      <c r="HG512" s="9"/>
      <c r="HH512" s="9"/>
      <c r="HI512" s="9"/>
      <c r="HJ512" s="9"/>
      <c r="HK512" s="9"/>
      <c r="HL512" s="9"/>
      <c r="HM512" s="9"/>
      <c r="HN512" s="9"/>
      <c r="HO512" s="9"/>
      <c r="HP512" s="9"/>
      <c r="HQ512" s="9"/>
      <c r="HR512" s="9"/>
      <c r="HS512" s="9"/>
      <c r="HT512" s="9"/>
      <c r="HU512" s="9"/>
      <c r="HV512" s="9"/>
      <c r="HW512" s="9"/>
      <c r="HX512" s="9"/>
      <c r="HY512" s="9"/>
      <c r="HZ512" s="9"/>
      <c r="IA512" s="9"/>
      <c r="IB512" s="9"/>
      <c r="IC512" s="9"/>
      <c r="ID512" s="9"/>
      <c r="IE512" s="9"/>
      <c r="IF512" s="9"/>
      <c r="IG512" s="9"/>
      <c r="IH512" s="9"/>
      <c r="II512" s="9"/>
      <c r="IJ512" s="9"/>
      <c r="IK512" s="9"/>
      <c r="IL512" s="9"/>
      <c r="IM512" s="9"/>
      <c r="IN512" s="9"/>
      <c r="IO512" s="9"/>
      <c r="IP512" s="9"/>
      <c r="IQ512" s="9"/>
      <c r="IR512" s="9"/>
      <c r="IS512" s="9"/>
      <c r="IT512" s="9"/>
      <c r="IU512" s="9"/>
      <c r="IV512" s="9"/>
    </row>
    <row r="513" spans="1:256" outlineLevel="1">
      <c r="A513" s="16"/>
      <c r="B513" s="44"/>
      <c r="C513" s="20"/>
      <c r="D513" s="20"/>
      <c r="E513" s="20"/>
      <c r="F513" s="21"/>
      <c r="G513" s="21"/>
      <c r="H513" s="21"/>
      <c r="I513" s="21"/>
      <c r="J513" s="20"/>
      <c r="K513" s="21"/>
      <c r="L513" s="21"/>
      <c r="M513" s="39"/>
      <c r="N513" s="39"/>
      <c r="O513" s="39"/>
      <c r="P513" s="21"/>
      <c r="Q513" s="21"/>
      <c r="R513" s="20"/>
      <c r="S513" s="22">
        <f t="shared" si="34"/>
        <v>0</v>
      </c>
      <c r="T513" s="22">
        <f>COUNTIF($V$4:V513,V513)</f>
        <v>242</v>
      </c>
      <c r="U513" s="22" t="str">
        <f>IF(T513=1,COUNTIF($T$4:T513,1),"")</f>
        <v/>
      </c>
      <c r="V513" s="23" t="str">
        <f t="shared" si="35"/>
        <v/>
      </c>
      <c r="W513" s="23">
        <f t="shared" ref="W513:W576" si="36">$F513</f>
        <v>0</v>
      </c>
      <c r="X513" s="24"/>
      <c r="Y513" s="23"/>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c r="EB513" s="9"/>
      <c r="EC513" s="9"/>
      <c r="ED513" s="9"/>
      <c r="EE513" s="9"/>
      <c r="EF513" s="9"/>
      <c r="EG513" s="9"/>
      <c r="EH513" s="9"/>
      <c r="EI513" s="9"/>
      <c r="EJ513" s="9"/>
      <c r="EK513" s="9"/>
      <c r="EL513" s="9"/>
      <c r="EM513" s="9"/>
      <c r="EN513" s="9"/>
      <c r="EO513" s="9"/>
      <c r="EP513" s="9"/>
      <c r="EQ513" s="9"/>
      <c r="ER513" s="9"/>
      <c r="ES513" s="9"/>
      <c r="ET513" s="9"/>
      <c r="EU513" s="9"/>
      <c r="EV513" s="9"/>
      <c r="EW513" s="9"/>
      <c r="EX513" s="9"/>
      <c r="EY513" s="9"/>
      <c r="EZ513" s="9"/>
      <c r="FA513" s="9"/>
      <c r="FB513" s="9"/>
      <c r="FC513" s="9"/>
      <c r="FD513" s="9"/>
      <c r="FE513" s="9"/>
      <c r="FF513" s="9"/>
      <c r="FG513" s="9"/>
      <c r="FH513" s="9"/>
      <c r="FI513" s="9"/>
      <c r="FJ513" s="9"/>
      <c r="FK513" s="9"/>
      <c r="FL513" s="9"/>
      <c r="FM513" s="9"/>
      <c r="FN513" s="9"/>
      <c r="FO513" s="9"/>
      <c r="FP513" s="9"/>
      <c r="FQ513" s="9"/>
      <c r="FR513" s="9"/>
      <c r="FS513" s="9"/>
      <c r="FT513" s="9"/>
      <c r="FU513" s="9"/>
      <c r="FV513" s="9"/>
      <c r="FW513" s="9"/>
      <c r="FX513" s="9"/>
      <c r="FY513" s="9"/>
      <c r="FZ513" s="9"/>
      <c r="GA513" s="9"/>
      <c r="GB513" s="9"/>
      <c r="GC513" s="9"/>
      <c r="GD513" s="9"/>
      <c r="GE513" s="9"/>
      <c r="GF513" s="9"/>
      <c r="GG513" s="9"/>
      <c r="GH513" s="9"/>
      <c r="GI513" s="9"/>
      <c r="GJ513" s="9"/>
      <c r="GK513" s="9"/>
      <c r="GL513" s="9"/>
      <c r="GM513" s="9"/>
      <c r="GN513" s="9"/>
      <c r="GO513" s="9"/>
      <c r="GP513" s="9"/>
      <c r="GQ513" s="9"/>
      <c r="GR513" s="9"/>
      <c r="GS513" s="9"/>
      <c r="GT513" s="9"/>
      <c r="GU513" s="9"/>
      <c r="GV513" s="9"/>
      <c r="GW513" s="9"/>
      <c r="GX513" s="9"/>
      <c r="GY513" s="9"/>
      <c r="GZ513" s="9"/>
      <c r="HA513" s="9"/>
      <c r="HB513" s="9"/>
      <c r="HC513" s="9"/>
      <c r="HD513" s="9"/>
      <c r="HE513" s="9"/>
      <c r="HF513" s="9"/>
      <c r="HG513" s="9"/>
      <c r="HH513" s="9"/>
      <c r="HI513" s="9"/>
      <c r="HJ513" s="9"/>
      <c r="HK513" s="9"/>
      <c r="HL513" s="9"/>
      <c r="HM513" s="9"/>
      <c r="HN513" s="9"/>
      <c r="HO513" s="9"/>
      <c r="HP513" s="9"/>
      <c r="HQ513" s="9"/>
      <c r="HR513" s="9"/>
      <c r="HS513" s="9"/>
      <c r="HT513" s="9"/>
      <c r="HU513" s="9"/>
      <c r="HV513" s="9"/>
      <c r="HW513" s="9"/>
      <c r="HX513" s="9"/>
      <c r="HY513" s="9"/>
      <c r="HZ513" s="9"/>
      <c r="IA513" s="9"/>
      <c r="IB513" s="9"/>
      <c r="IC513" s="9"/>
      <c r="ID513" s="9"/>
      <c r="IE513" s="9"/>
      <c r="IF513" s="9"/>
      <c r="IG513" s="9"/>
      <c r="IH513" s="9"/>
      <c r="II513" s="9"/>
      <c r="IJ513" s="9"/>
      <c r="IK513" s="9"/>
      <c r="IL513" s="9"/>
      <c r="IM513" s="9"/>
      <c r="IN513" s="9"/>
      <c r="IO513" s="9"/>
      <c r="IP513" s="9"/>
      <c r="IQ513" s="9"/>
      <c r="IR513" s="9"/>
      <c r="IS513" s="9"/>
      <c r="IT513" s="9"/>
      <c r="IU513" s="9"/>
      <c r="IV513" s="9"/>
    </row>
    <row r="514" spans="1:256" outlineLevel="1">
      <c r="A514" s="16"/>
      <c r="B514" s="44"/>
      <c r="C514" s="20"/>
      <c r="D514" s="20"/>
      <c r="E514" s="20"/>
      <c r="F514" s="21"/>
      <c r="G514" s="21"/>
      <c r="H514" s="21"/>
      <c r="I514" s="21"/>
      <c r="J514" s="20"/>
      <c r="K514" s="21"/>
      <c r="L514" s="21"/>
      <c r="M514" s="39"/>
      <c r="N514" s="39"/>
      <c r="O514" s="39"/>
      <c r="P514" s="21"/>
      <c r="Q514" s="21"/>
      <c r="R514" s="20"/>
      <c r="S514" s="22">
        <f t="shared" si="34"/>
        <v>0</v>
      </c>
      <c r="T514" s="22">
        <f>COUNTIF($V$4:V514,V514)</f>
        <v>243</v>
      </c>
      <c r="U514" s="22" t="str">
        <f>IF(T514=1,COUNTIF($T$4:T514,1),"")</f>
        <v/>
      </c>
      <c r="V514" s="23" t="str">
        <f t="shared" si="35"/>
        <v/>
      </c>
      <c r="W514" s="23">
        <f t="shared" si="36"/>
        <v>0</v>
      </c>
      <c r="X514" s="24"/>
      <c r="Y514" s="23"/>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c r="EB514" s="9"/>
      <c r="EC514" s="9"/>
      <c r="ED514" s="9"/>
      <c r="EE514" s="9"/>
      <c r="EF514" s="9"/>
      <c r="EG514" s="9"/>
      <c r="EH514" s="9"/>
      <c r="EI514" s="9"/>
      <c r="EJ514" s="9"/>
      <c r="EK514" s="9"/>
      <c r="EL514" s="9"/>
      <c r="EM514" s="9"/>
      <c r="EN514" s="9"/>
      <c r="EO514" s="9"/>
      <c r="EP514" s="9"/>
      <c r="EQ514" s="9"/>
      <c r="ER514" s="9"/>
      <c r="ES514" s="9"/>
      <c r="ET514" s="9"/>
      <c r="EU514" s="9"/>
      <c r="EV514" s="9"/>
      <c r="EW514" s="9"/>
      <c r="EX514" s="9"/>
      <c r="EY514" s="9"/>
      <c r="EZ514" s="9"/>
      <c r="FA514" s="9"/>
      <c r="FB514" s="9"/>
      <c r="FC514" s="9"/>
      <c r="FD514" s="9"/>
      <c r="FE514" s="9"/>
      <c r="FF514" s="9"/>
      <c r="FG514" s="9"/>
      <c r="FH514" s="9"/>
      <c r="FI514" s="9"/>
      <c r="FJ514" s="9"/>
      <c r="FK514" s="9"/>
      <c r="FL514" s="9"/>
      <c r="FM514" s="9"/>
      <c r="FN514" s="9"/>
      <c r="FO514" s="9"/>
      <c r="FP514" s="9"/>
      <c r="FQ514" s="9"/>
      <c r="FR514" s="9"/>
      <c r="FS514" s="9"/>
      <c r="FT514" s="9"/>
      <c r="FU514" s="9"/>
      <c r="FV514" s="9"/>
      <c r="FW514" s="9"/>
      <c r="FX514" s="9"/>
      <c r="FY514" s="9"/>
      <c r="FZ514" s="9"/>
      <c r="GA514" s="9"/>
      <c r="GB514" s="9"/>
      <c r="GC514" s="9"/>
      <c r="GD514" s="9"/>
      <c r="GE514" s="9"/>
      <c r="GF514" s="9"/>
      <c r="GG514" s="9"/>
      <c r="GH514" s="9"/>
      <c r="GI514" s="9"/>
      <c r="GJ514" s="9"/>
      <c r="GK514" s="9"/>
      <c r="GL514" s="9"/>
      <c r="GM514" s="9"/>
      <c r="GN514" s="9"/>
      <c r="GO514" s="9"/>
      <c r="GP514" s="9"/>
      <c r="GQ514" s="9"/>
      <c r="GR514" s="9"/>
      <c r="GS514" s="9"/>
      <c r="GT514" s="9"/>
      <c r="GU514" s="9"/>
      <c r="GV514" s="9"/>
      <c r="GW514" s="9"/>
      <c r="GX514" s="9"/>
      <c r="GY514" s="9"/>
      <c r="GZ514" s="9"/>
      <c r="HA514" s="9"/>
      <c r="HB514" s="9"/>
      <c r="HC514" s="9"/>
      <c r="HD514" s="9"/>
      <c r="HE514" s="9"/>
      <c r="HF514" s="9"/>
      <c r="HG514" s="9"/>
      <c r="HH514" s="9"/>
      <c r="HI514" s="9"/>
      <c r="HJ514" s="9"/>
      <c r="HK514" s="9"/>
      <c r="HL514" s="9"/>
      <c r="HM514" s="9"/>
      <c r="HN514" s="9"/>
      <c r="HO514" s="9"/>
      <c r="HP514" s="9"/>
      <c r="HQ514" s="9"/>
      <c r="HR514" s="9"/>
      <c r="HS514" s="9"/>
      <c r="HT514" s="9"/>
      <c r="HU514" s="9"/>
      <c r="HV514" s="9"/>
      <c r="HW514" s="9"/>
      <c r="HX514" s="9"/>
      <c r="HY514" s="9"/>
      <c r="HZ514" s="9"/>
      <c r="IA514" s="9"/>
      <c r="IB514" s="9"/>
      <c r="IC514" s="9"/>
      <c r="ID514" s="9"/>
      <c r="IE514" s="9"/>
      <c r="IF514" s="9"/>
      <c r="IG514" s="9"/>
      <c r="IH514" s="9"/>
      <c r="II514" s="9"/>
      <c r="IJ514" s="9"/>
      <c r="IK514" s="9"/>
      <c r="IL514" s="9"/>
      <c r="IM514" s="9"/>
      <c r="IN514" s="9"/>
      <c r="IO514" s="9"/>
      <c r="IP514" s="9"/>
      <c r="IQ514" s="9"/>
      <c r="IR514" s="9"/>
      <c r="IS514" s="9"/>
      <c r="IT514" s="9"/>
      <c r="IU514" s="9"/>
      <c r="IV514" s="9"/>
    </row>
    <row r="515" spans="1:256" outlineLevel="1">
      <c r="A515" s="16"/>
      <c r="B515" s="44"/>
      <c r="C515" s="20"/>
      <c r="D515" s="20"/>
      <c r="E515" s="20"/>
      <c r="F515" s="21"/>
      <c r="G515" s="21"/>
      <c r="H515" s="21"/>
      <c r="I515" s="21"/>
      <c r="J515" s="20"/>
      <c r="K515" s="21"/>
      <c r="L515" s="21"/>
      <c r="M515" s="39"/>
      <c r="N515" s="39"/>
      <c r="O515" s="39"/>
      <c r="P515" s="21"/>
      <c r="Q515" s="21"/>
      <c r="R515" s="20"/>
      <c r="S515" s="22">
        <f t="shared" si="34"/>
        <v>0</v>
      </c>
      <c r="T515" s="22">
        <f>COUNTIF($V$4:V515,V515)</f>
        <v>244</v>
      </c>
      <c r="U515" s="22" t="str">
        <f>IF(T515=1,COUNTIF($T$4:T515,1),"")</f>
        <v/>
      </c>
      <c r="V515" s="23" t="str">
        <f t="shared" si="35"/>
        <v/>
      </c>
      <c r="W515" s="23">
        <f t="shared" si="36"/>
        <v>0</v>
      </c>
      <c r="X515" s="24"/>
      <c r="Y515" s="23"/>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c r="EB515" s="9"/>
      <c r="EC515" s="9"/>
      <c r="ED515" s="9"/>
      <c r="EE515" s="9"/>
      <c r="EF515" s="9"/>
      <c r="EG515" s="9"/>
      <c r="EH515" s="9"/>
      <c r="EI515" s="9"/>
      <c r="EJ515" s="9"/>
      <c r="EK515" s="9"/>
      <c r="EL515" s="9"/>
      <c r="EM515" s="9"/>
      <c r="EN515" s="9"/>
      <c r="EO515" s="9"/>
      <c r="EP515" s="9"/>
      <c r="EQ515" s="9"/>
      <c r="ER515" s="9"/>
      <c r="ES515" s="9"/>
      <c r="ET515" s="9"/>
      <c r="EU515" s="9"/>
      <c r="EV515" s="9"/>
      <c r="EW515" s="9"/>
      <c r="EX515" s="9"/>
      <c r="EY515" s="9"/>
      <c r="EZ515" s="9"/>
      <c r="FA515" s="9"/>
      <c r="FB515" s="9"/>
      <c r="FC515" s="9"/>
      <c r="FD515" s="9"/>
      <c r="FE515" s="9"/>
      <c r="FF515" s="9"/>
      <c r="FG515" s="9"/>
      <c r="FH515" s="9"/>
      <c r="FI515" s="9"/>
      <c r="FJ515" s="9"/>
      <c r="FK515" s="9"/>
      <c r="FL515" s="9"/>
      <c r="FM515" s="9"/>
      <c r="FN515" s="9"/>
      <c r="FO515" s="9"/>
      <c r="FP515" s="9"/>
      <c r="FQ515" s="9"/>
      <c r="FR515" s="9"/>
      <c r="FS515" s="9"/>
      <c r="FT515" s="9"/>
      <c r="FU515" s="9"/>
      <c r="FV515" s="9"/>
      <c r="FW515" s="9"/>
      <c r="FX515" s="9"/>
      <c r="FY515" s="9"/>
      <c r="FZ515" s="9"/>
      <c r="GA515" s="9"/>
      <c r="GB515" s="9"/>
      <c r="GC515" s="9"/>
      <c r="GD515" s="9"/>
      <c r="GE515" s="9"/>
      <c r="GF515" s="9"/>
      <c r="GG515" s="9"/>
      <c r="GH515" s="9"/>
      <c r="GI515" s="9"/>
      <c r="GJ515" s="9"/>
      <c r="GK515" s="9"/>
      <c r="GL515" s="9"/>
      <c r="GM515" s="9"/>
      <c r="GN515" s="9"/>
      <c r="GO515" s="9"/>
      <c r="GP515" s="9"/>
      <c r="GQ515" s="9"/>
      <c r="GR515" s="9"/>
      <c r="GS515" s="9"/>
      <c r="GT515" s="9"/>
      <c r="GU515" s="9"/>
      <c r="GV515" s="9"/>
      <c r="GW515" s="9"/>
      <c r="GX515" s="9"/>
      <c r="GY515" s="9"/>
      <c r="GZ515" s="9"/>
      <c r="HA515" s="9"/>
      <c r="HB515" s="9"/>
      <c r="HC515" s="9"/>
      <c r="HD515" s="9"/>
      <c r="HE515" s="9"/>
      <c r="HF515" s="9"/>
      <c r="HG515" s="9"/>
      <c r="HH515" s="9"/>
      <c r="HI515" s="9"/>
      <c r="HJ515" s="9"/>
      <c r="HK515" s="9"/>
      <c r="HL515" s="9"/>
      <c r="HM515" s="9"/>
      <c r="HN515" s="9"/>
      <c r="HO515" s="9"/>
      <c r="HP515" s="9"/>
      <c r="HQ515" s="9"/>
      <c r="HR515" s="9"/>
      <c r="HS515" s="9"/>
      <c r="HT515" s="9"/>
      <c r="HU515" s="9"/>
      <c r="HV515" s="9"/>
      <c r="HW515" s="9"/>
      <c r="HX515" s="9"/>
      <c r="HY515" s="9"/>
      <c r="HZ515" s="9"/>
      <c r="IA515" s="9"/>
      <c r="IB515" s="9"/>
      <c r="IC515" s="9"/>
      <c r="ID515" s="9"/>
      <c r="IE515" s="9"/>
      <c r="IF515" s="9"/>
      <c r="IG515" s="9"/>
      <c r="IH515" s="9"/>
      <c r="II515" s="9"/>
      <c r="IJ515" s="9"/>
      <c r="IK515" s="9"/>
      <c r="IL515" s="9"/>
      <c r="IM515" s="9"/>
      <c r="IN515" s="9"/>
      <c r="IO515" s="9"/>
      <c r="IP515" s="9"/>
      <c r="IQ515" s="9"/>
      <c r="IR515" s="9"/>
      <c r="IS515" s="9"/>
      <c r="IT515" s="9"/>
      <c r="IU515" s="9"/>
      <c r="IV515" s="9"/>
    </row>
    <row r="516" spans="1:256" outlineLevel="1">
      <c r="A516" s="16"/>
      <c r="B516" s="44"/>
      <c r="C516" s="20"/>
      <c r="D516" s="20"/>
      <c r="E516" s="20"/>
      <c r="F516" s="21"/>
      <c r="G516" s="21"/>
      <c r="H516" s="21"/>
      <c r="I516" s="21"/>
      <c r="J516" s="20"/>
      <c r="K516" s="21"/>
      <c r="L516" s="21"/>
      <c r="M516" s="39"/>
      <c r="N516" s="39"/>
      <c r="O516" s="39"/>
      <c r="P516" s="21"/>
      <c r="Q516" s="21"/>
      <c r="R516" s="20"/>
      <c r="S516" s="22">
        <f t="shared" si="34"/>
        <v>0</v>
      </c>
      <c r="T516" s="22">
        <f>COUNTIF($V$4:V516,V516)</f>
        <v>245</v>
      </c>
      <c r="U516" s="22" t="str">
        <f>IF(T516=1,COUNTIF($T$4:T516,1),"")</f>
        <v/>
      </c>
      <c r="V516" s="23" t="str">
        <f t="shared" si="35"/>
        <v/>
      </c>
      <c r="W516" s="23">
        <f t="shared" si="36"/>
        <v>0</v>
      </c>
      <c r="X516" s="24"/>
      <c r="Y516" s="23"/>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c r="EB516" s="9"/>
      <c r="EC516" s="9"/>
      <c r="ED516" s="9"/>
      <c r="EE516" s="9"/>
      <c r="EF516" s="9"/>
      <c r="EG516" s="9"/>
      <c r="EH516" s="9"/>
      <c r="EI516" s="9"/>
      <c r="EJ516" s="9"/>
      <c r="EK516" s="9"/>
      <c r="EL516" s="9"/>
      <c r="EM516" s="9"/>
      <c r="EN516" s="9"/>
      <c r="EO516" s="9"/>
      <c r="EP516" s="9"/>
      <c r="EQ516" s="9"/>
      <c r="ER516" s="9"/>
      <c r="ES516" s="9"/>
      <c r="ET516" s="9"/>
      <c r="EU516" s="9"/>
      <c r="EV516" s="9"/>
      <c r="EW516" s="9"/>
      <c r="EX516" s="9"/>
      <c r="EY516" s="9"/>
      <c r="EZ516" s="9"/>
      <c r="FA516" s="9"/>
      <c r="FB516" s="9"/>
      <c r="FC516" s="9"/>
      <c r="FD516" s="9"/>
      <c r="FE516" s="9"/>
      <c r="FF516" s="9"/>
      <c r="FG516" s="9"/>
      <c r="FH516" s="9"/>
      <c r="FI516" s="9"/>
      <c r="FJ516" s="9"/>
      <c r="FK516" s="9"/>
      <c r="FL516" s="9"/>
      <c r="FM516" s="9"/>
      <c r="FN516" s="9"/>
      <c r="FO516" s="9"/>
      <c r="FP516" s="9"/>
      <c r="FQ516" s="9"/>
      <c r="FR516" s="9"/>
      <c r="FS516" s="9"/>
      <c r="FT516" s="9"/>
      <c r="FU516" s="9"/>
      <c r="FV516" s="9"/>
      <c r="FW516" s="9"/>
      <c r="FX516" s="9"/>
      <c r="FY516" s="9"/>
      <c r="FZ516" s="9"/>
      <c r="GA516" s="9"/>
      <c r="GB516" s="9"/>
      <c r="GC516" s="9"/>
      <c r="GD516" s="9"/>
      <c r="GE516" s="9"/>
      <c r="GF516" s="9"/>
      <c r="GG516" s="9"/>
      <c r="GH516" s="9"/>
      <c r="GI516" s="9"/>
      <c r="GJ516" s="9"/>
      <c r="GK516" s="9"/>
      <c r="GL516" s="9"/>
      <c r="GM516" s="9"/>
      <c r="GN516" s="9"/>
      <c r="GO516" s="9"/>
      <c r="GP516" s="9"/>
      <c r="GQ516" s="9"/>
      <c r="GR516" s="9"/>
      <c r="GS516" s="9"/>
      <c r="GT516" s="9"/>
      <c r="GU516" s="9"/>
      <c r="GV516" s="9"/>
      <c r="GW516" s="9"/>
      <c r="GX516" s="9"/>
      <c r="GY516" s="9"/>
      <c r="GZ516" s="9"/>
      <c r="HA516" s="9"/>
      <c r="HB516" s="9"/>
      <c r="HC516" s="9"/>
      <c r="HD516" s="9"/>
      <c r="HE516" s="9"/>
      <c r="HF516" s="9"/>
      <c r="HG516" s="9"/>
      <c r="HH516" s="9"/>
      <c r="HI516" s="9"/>
      <c r="HJ516" s="9"/>
      <c r="HK516" s="9"/>
      <c r="HL516" s="9"/>
      <c r="HM516" s="9"/>
      <c r="HN516" s="9"/>
      <c r="HO516" s="9"/>
      <c r="HP516" s="9"/>
      <c r="HQ516" s="9"/>
      <c r="HR516" s="9"/>
      <c r="HS516" s="9"/>
      <c r="HT516" s="9"/>
      <c r="HU516" s="9"/>
      <c r="HV516" s="9"/>
      <c r="HW516" s="9"/>
      <c r="HX516" s="9"/>
      <c r="HY516" s="9"/>
      <c r="HZ516" s="9"/>
      <c r="IA516" s="9"/>
      <c r="IB516" s="9"/>
      <c r="IC516" s="9"/>
      <c r="ID516" s="9"/>
      <c r="IE516" s="9"/>
      <c r="IF516" s="9"/>
      <c r="IG516" s="9"/>
      <c r="IH516" s="9"/>
      <c r="II516" s="9"/>
      <c r="IJ516" s="9"/>
      <c r="IK516" s="9"/>
      <c r="IL516" s="9"/>
      <c r="IM516" s="9"/>
      <c r="IN516" s="9"/>
      <c r="IO516" s="9"/>
      <c r="IP516" s="9"/>
      <c r="IQ516" s="9"/>
      <c r="IR516" s="9"/>
      <c r="IS516" s="9"/>
      <c r="IT516" s="9"/>
      <c r="IU516" s="9"/>
      <c r="IV516" s="9"/>
    </row>
    <row r="517" spans="1:256" outlineLevel="1">
      <c r="A517" s="16"/>
      <c r="B517" s="44"/>
      <c r="C517" s="20"/>
      <c r="D517" s="20"/>
      <c r="E517" s="20"/>
      <c r="F517" s="21"/>
      <c r="G517" s="21"/>
      <c r="H517" s="21"/>
      <c r="I517" s="21"/>
      <c r="J517" s="20"/>
      <c r="K517" s="21"/>
      <c r="L517" s="21"/>
      <c r="M517" s="39"/>
      <c r="N517" s="39"/>
      <c r="O517" s="39"/>
      <c r="P517" s="21"/>
      <c r="Q517" s="21"/>
      <c r="R517" s="20"/>
      <c r="S517" s="22">
        <f t="shared" si="34"/>
        <v>0</v>
      </c>
      <c r="T517" s="22">
        <f>COUNTIF($V$4:V517,V517)</f>
        <v>246</v>
      </c>
      <c r="U517" s="22" t="str">
        <f>IF(T517=1,COUNTIF($T$4:T517,1),"")</f>
        <v/>
      </c>
      <c r="V517" s="23" t="str">
        <f t="shared" si="35"/>
        <v/>
      </c>
      <c r="W517" s="23">
        <f t="shared" si="36"/>
        <v>0</v>
      </c>
      <c r="X517" s="24"/>
      <c r="Y517" s="23"/>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c r="EB517" s="9"/>
      <c r="EC517" s="9"/>
      <c r="ED517" s="9"/>
      <c r="EE517" s="9"/>
      <c r="EF517" s="9"/>
      <c r="EG517" s="9"/>
      <c r="EH517" s="9"/>
      <c r="EI517" s="9"/>
      <c r="EJ517" s="9"/>
      <c r="EK517" s="9"/>
      <c r="EL517" s="9"/>
      <c r="EM517" s="9"/>
      <c r="EN517" s="9"/>
      <c r="EO517" s="9"/>
      <c r="EP517" s="9"/>
      <c r="EQ517" s="9"/>
      <c r="ER517" s="9"/>
      <c r="ES517" s="9"/>
      <c r="ET517" s="9"/>
      <c r="EU517" s="9"/>
      <c r="EV517" s="9"/>
      <c r="EW517" s="9"/>
      <c r="EX517" s="9"/>
      <c r="EY517" s="9"/>
      <c r="EZ517" s="9"/>
      <c r="FA517" s="9"/>
      <c r="FB517" s="9"/>
      <c r="FC517" s="9"/>
      <c r="FD517" s="9"/>
      <c r="FE517" s="9"/>
      <c r="FF517" s="9"/>
      <c r="FG517" s="9"/>
      <c r="FH517" s="9"/>
      <c r="FI517" s="9"/>
      <c r="FJ517" s="9"/>
      <c r="FK517" s="9"/>
      <c r="FL517" s="9"/>
      <c r="FM517" s="9"/>
      <c r="FN517" s="9"/>
      <c r="FO517" s="9"/>
      <c r="FP517" s="9"/>
      <c r="FQ517" s="9"/>
      <c r="FR517" s="9"/>
      <c r="FS517" s="9"/>
      <c r="FT517" s="9"/>
      <c r="FU517" s="9"/>
      <c r="FV517" s="9"/>
      <c r="FW517" s="9"/>
      <c r="FX517" s="9"/>
      <c r="FY517" s="9"/>
      <c r="FZ517" s="9"/>
      <c r="GA517" s="9"/>
      <c r="GB517" s="9"/>
      <c r="GC517" s="9"/>
      <c r="GD517" s="9"/>
      <c r="GE517" s="9"/>
      <c r="GF517" s="9"/>
      <c r="GG517" s="9"/>
      <c r="GH517" s="9"/>
      <c r="GI517" s="9"/>
      <c r="GJ517" s="9"/>
      <c r="GK517" s="9"/>
      <c r="GL517" s="9"/>
      <c r="GM517" s="9"/>
      <c r="GN517" s="9"/>
      <c r="GO517" s="9"/>
      <c r="GP517" s="9"/>
      <c r="GQ517" s="9"/>
      <c r="GR517" s="9"/>
      <c r="GS517" s="9"/>
      <c r="GT517" s="9"/>
      <c r="GU517" s="9"/>
      <c r="GV517" s="9"/>
      <c r="GW517" s="9"/>
      <c r="GX517" s="9"/>
      <c r="GY517" s="9"/>
      <c r="GZ517" s="9"/>
      <c r="HA517" s="9"/>
      <c r="HB517" s="9"/>
      <c r="HC517" s="9"/>
      <c r="HD517" s="9"/>
      <c r="HE517" s="9"/>
      <c r="HF517" s="9"/>
      <c r="HG517" s="9"/>
      <c r="HH517" s="9"/>
      <c r="HI517" s="9"/>
      <c r="HJ517" s="9"/>
      <c r="HK517" s="9"/>
      <c r="HL517" s="9"/>
      <c r="HM517" s="9"/>
      <c r="HN517" s="9"/>
      <c r="HO517" s="9"/>
      <c r="HP517" s="9"/>
      <c r="HQ517" s="9"/>
      <c r="HR517" s="9"/>
      <c r="HS517" s="9"/>
      <c r="HT517" s="9"/>
      <c r="HU517" s="9"/>
      <c r="HV517" s="9"/>
      <c r="HW517" s="9"/>
      <c r="HX517" s="9"/>
      <c r="HY517" s="9"/>
      <c r="HZ517" s="9"/>
      <c r="IA517" s="9"/>
      <c r="IB517" s="9"/>
      <c r="IC517" s="9"/>
      <c r="ID517" s="9"/>
      <c r="IE517" s="9"/>
      <c r="IF517" s="9"/>
      <c r="IG517" s="9"/>
      <c r="IH517" s="9"/>
      <c r="II517" s="9"/>
      <c r="IJ517" s="9"/>
      <c r="IK517" s="9"/>
      <c r="IL517" s="9"/>
      <c r="IM517" s="9"/>
      <c r="IN517" s="9"/>
      <c r="IO517" s="9"/>
      <c r="IP517" s="9"/>
      <c r="IQ517" s="9"/>
      <c r="IR517" s="9"/>
      <c r="IS517" s="9"/>
      <c r="IT517" s="9"/>
      <c r="IU517" s="9"/>
      <c r="IV517" s="9"/>
    </row>
    <row r="518" spans="1:256" outlineLevel="1">
      <c r="A518" s="16"/>
      <c r="B518" s="44"/>
      <c r="C518" s="20"/>
      <c r="D518" s="20"/>
      <c r="E518" s="20"/>
      <c r="F518" s="21"/>
      <c r="G518" s="21"/>
      <c r="H518" s="21"/>
      <c r="I518" s="21"/>
      <c r="J518" s="20"/>
      <c r="K518" s="21"/>
      <c r="L518" s="21"/>
      <c r="M518" s="21"/>
      <c r="N518" s="21"/>
      <c r="O518" s="39"/>
      <c r="P518" s="21"/>
      <c r="Q518" s="21"/>
      <c r="R518" s="20"/>
      <c r="S518" s="22">
        <f t="shared" ref="S518:S581" si="37">A518</f>
        <v>0</v>
      </c>
      <c r="T518" s="22">
        <f>COUNTIF($V$4:V518,V518)</f>
        <v>247</v>
      </c>
      <c r="U518" s="22" t="str">
        <f>IF(T518=1,COUNTIF($T$4:T518,1),"")</f>
        <v/>
      </c>
      <c r="V518" s="23" t="str">
        <f t="shared" ref="V518:V581" si="38">$E518&amp;$C518</f>
        <v/>
      </c>
      <c r="W518" s="23">
        <f t="shared" si="36"/>
        <v>0</v>
      </c>
      <c r="X518" s="24"/>
      <c r="Y518" s="23"/>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c r="EB518" s="9"/>
      <c r="EC518" s="9"/>
      <c r="ED518" s="9"/>
      <c r="EE518" s="9"/>
      <c r="EF518" s="9"/>
      <c r="EG518" s="9"/>
      <c r="EH518" s="9"/>
      <c r="EI518" s="9"/>
      <c r="EJ518" s="9"/>
      <c r="EK518" s="9"/>
      <c r="EL518" s="9"/>
      <c r="EM518" s="9"/>
      <c r="EN518" s="9"/>
      <c r="EO518" s="9"/>
      <c r="EP518" s="9"/>
      <c r="EQ518" s="9"/>
      <c r="ER518" s="9"/>
      <c r="ES518" s="9"/>
      <c r="ET518" s="9"/>
      <c r="EU518" s="9"/>
      <c r="EV518" s="9"/>
      <c r="EW518" s="9"/>
      <c r="EX518" s="9"/>
      <c r="EY518" s="9"/>
      <c r="EZ518" s="9"/>
      <c r="FA518" s="9"/>
      <c r="FB518" s="9"/>
      <c r="FC518" s="9"/>
      <c r="FD518" s="9"/>
      <c r="FE518" s="9"/>
      <c r="FF518" s="9"/>
      <c r="FG518" s="9"/>
      <c r="FH518" s="9"/>
      <c r="FI518" s="9"/>
      <c r="FJ518" s="9"/>
      <c r="FK518" s="9"/>
      <c r="FL518" s="9"/>
      <c r="FM518" s="9"/>
      <c r="FN518" s="9"/>
      <c r="FO518" s="9"/>
      <c r="FP518" s="9"/>
      <c r="FQ518" s="9"/>
      <c r="FR518" s="9"/>
      <c r="FS518" s="9"/>
      <c r="FT518" s="9"/>
      <c r="FU518" s="9"/>
      <c r="FV518" s="9"/>
      <c r="FW518" s="9"/>
      <c r="FX518" s="9"/>
      <c r="FY518" s="9"/>
      <c r="FZ518" s="9"/>
      <c r="GA518" s="9"/>
      <c r="GB518" s="9"/>
      <c r="GC518" s="9"/>
      <c r="GD518" s="9"/>
      <c r="GE518" s="9"/>
      <c r="GF518" s="9"/>
      <c r="GG518" s="9"/>
      <c r="GH518" s="9"/>
      <c r="GI518" s="9"/>
      <c r="GJ518" s="9"/>
      <c r="GK518" s="9"/>
      <c r="GL518" s="9"/>
      <c r="GM518" s="9"/>
      <c r="GN518" s="9"/>
      <c r="GO518" s="9"/>
      <c r="GP518" s="9"/>
      <c r="GQ518" s="9"/>
      <c r="GR518" s="9"/>
      <c r="GS518" s="9"/>
      <c r="GT518" s="9"/>
      <c r="GU518" s="9"/>
      <c r="GV518" s="9"/>
      <c r="GW518" s="9"/>
      <c r="GX518" s="9"/>
      <c r="GY518" s="9"/>
      <c r="GZ518" s="9"/>
      <c r="HA518" s="9"/>
      <c r="HB518" s="9"/>
      <c r="HC518" s="9"/>
      <c r="HD518" s="9"/>
      <c r="HE518" s="9"/>
      <c r="HF518" s="9"/>
      <c r="HG518" s="9"/>
      <c r="HH518" s="9"/>
      <c r="HI518" s="9"/>
      <c r="HJ518" s="9"/>
      <c r="HK518" s="9"/>
      <c r="HL518" s="9"/>
      <c r="HM518" s="9"/>
      <c r="HN518" s="9"/>
      <c r="HO518" s="9"/>
      <c r="HP518" s="9"/>
      <c r="HQ518" s="9"/>
      <c r="HR518" s="9"/>
      <c r="HS518" s="9"/>
      <c r="HT518" s="9"/>
      <c r="HU518" s="9"/>
      <c r="HV518" s="9"/>
      <c r="HW518" s="9"/>
      <c r="HX518" s="9"/>
      <c r="HY518" s="9"/>
      <c r="HZ518" s="9"/>
      <c r="IA518" s="9"/>
      <c r="IB518" s="9"/>
      <c r="IC518" s="9"/>
      <c r="ID518" s="9"/>
      <c r="IE518" s="9"/>
      <c r="IF518" s="9"/>
      <c r="IG518" s="9"/>
      <c r="IH518" s="9"/>
      <c r="II518" s="9"/>
      <c r="IJ518" s="9"/>
      <c r="IK518" s="9"/>
      <c r="IL518" s="9"/>
      <c r="IM518" s="9"/>
      <c r="IN518" s="9"/>
      <c r="IO518" s="9"/>
      <c r="IP518" s="9"/>
      <c r="IQ518" s="9"/>
      <c r="IR518" s="9"/>
      <c r="IS518" s="9"/>
      <c r="IT518" s="9"/>
      <c r="IU518" s="9"/>
      <c r="IV518" s="9"/>
    </row>
    <row r="519" spans="1:256" outlineLevel="1">
      <c r="A519" s="16"/>
      <c r="B519" s="44"/>
      <c r="C519" s="20"/>
      <c r="D519" s="20"/>
      <c r="E519" s="20"/>
      <c r="F519" s="21"/>
      <c r="G519" s="21"/>
      <c r="H519" s="21"/>
      <c r="I519" s="21"/>
      <c r="J519" s="21"/>
      <c r="K519" s="21"/>
      <c r="L519" s="21"/>
      <c r="M519" s="21"/>
      <c r="N519" s="21"/>
      <c r="O519" s="21"/>
      <c r="P519" s="21"/>
      <c r="Q519" s="21"/>
      <c r="R519" s="20"/>
      <c r="S519" s="22">
        <f t="shared" si="37"/>
        <v>0</v>
      </c>
      <c r="T519" s="22">
        <f>COUNTIF($V$4:V519,V519)</f>
        <v>248</v>
      </c>
      <c r="U519" s="22" t="str">
        <f>IF(T519=1,COUNTIF($T$4:T519,1),"")</f>
        <v/>
      </c>
      <c r="V519" s="23" t="str">
        <f t="shared" si="38"/>
        <v/>
      </c>
      <c r="W519" s="23">
        <f t="shared" si="36"/>
        <v>0</v>
      </c>
      <c r="X519" s="24"/>
      <c r="Y519" s="23"/>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c r="EB519" s="9"/>
      <c r="EC519" s="9"/>
      <c r="ED519" s="9"/>
      <c r="EE519" s="9"/>
      <c r="EF519" s="9"/>
      <c r="EG519" s="9"/>
      <c r="EH519" s="9"/>
      <c r="EI519" s="9"/>
      <c r="EJ519" s="9"/>
      <c r="EK519" s="9"/>
      <c r="EL519" s="9"/>
      <c r="EM519" s="9"/>
      <c r="EN519" s="9"/>
      <c r="EO519" s="9"/>
      <c r="EP519" s="9"/>
      <c r="EQ519" s="9"/>
      <c r="ER519" s="9"/>
      <c r="ES519" s="9"/>
      <c r="ET519" s="9"/>
      <c r="EU519" s="9"/>
      <c r="EV519" s="9"/>
      <c r="EW519" s="9"/>
      <c r="EX519" s="9"/>
      <c r="EY519" s="9"/>
      <c r="EZ519" s="9"/>
      <c r="FA519" s="9"/>
      <c r="FB519" s="9"/>
      <c r="FC519" s="9"/>
      <c r="FD519" s="9"/>
      <c r="FE519" s="9"/>
      <c r="FF519" s="9"/>
      <c r="FG519" s="9"/>
      <c r="FH519" s="9"/>
      <c r="FI519" s="9"/>
      <c r="FJ519" s="9"/>
      <c r="FK519" s="9"/>
      <c r="FL519" s="9"/>
      <c r="FM519" s="9"/>
      <c r="FN519" s="9"/>
      <c r="FO519" s="9"/>
      <c r="FP519" s="9"/>
      <c r="FQ519" s="9"/>
      <c r="FR519" s="9"/>
      <c r="FS519" s="9"/>
      <c r="FT519" s="9"/>
      <c r="FU519" s="9"/>
      <c r="FV519" s="9"/>
      <c r="FW519" s="9"/>
      <c r="FX519" s="9"/>
      <c r="FY519" s="9"/>
      <c r="FZ519" s="9"/>
      <c r="GA519" s="9"/>
      <c r="GB519" s="9"/>
      <c r="GC519" s="9"/>
      <c r="GD519" s="9"/>
      <c r="GE519" s="9"/>
      <c r="GF519" s="9"/>
      <c r="GG519" s="9"/>
      <c r="GH519" s="9"/>
      <c r="GI519" s="9"/>
      <c r="GJ519" s="9"/>
      <c r="GK519" s="9"/>
      <c r="GL519" s="9"/>
      <c r="GM519" s="9"/>
      <c r="GN519" s="9"/>
      <c r="GO519" s="9"/>
      <c r="GP519" s="9"/>
      <c r="GQ519" s="9"/>
      <c r="GR519" s="9"/>
      <c r="GS519" s="9"/>
      <c r="GT519" s="9"/>
      <c r="GU519" s="9"/>
      <c r="GV519" s="9"/>
      <c r="GW519" s="9"/>
      <c r="GX519" s="9"/>
      <c r="GY519" s="9"/>
      <c r="GZ519" s="9"/>
      <c r="HA519" s="9"/>
      <c r="HB519" s="9"/>
      <c r="HC519" s="9"/>
      <c r="HD519" s="9"/>
      <c r="HE519" s="9"/>
      <c r="HF519" s="9"/>
      <c r="HG519" s="9"/>
      <c r="HH519" s="9"/>
      <c r="HI519" s="9"/>
      <c r="HJ519" s="9"/>
      <c r="HK519" s="9"/>
      <c r="HL519" s="9"/>
      <c r="HM519" s="9"/>
      <c r="HN519" s="9"/>
      <c r="HO519" s="9"/>
      <c r="HP519" s="9"/>
      <c r="HQ519" s="9"/>
      <c r="HR519" s="9"/>
      <c r="HS519" s="9"/>
      <c r="HT519" s="9"/>
      <c r="HU519" s="9"/>
      <c r="HV519" s="9"/>
      <c r="HW519" s="9"/>
      <c r="HX519" s="9"/>
      <c r="HY519" s="9"/>
      <c r="HZ519" s="9"/>
      <c r="IA519" s="9"/>
      <c r="IB519" s="9"/>
      <c r="IC519" s="9"/>
      <c r="ID519" s="9"/>
      <c r="IE519" s="9"/>
      <c r="IF519" s="9"/>
      <c r="IG519" s="9"/>
      <c r="IH519" s="9"/>
      <c r="II519" s="9"/>
      <c r="IJ519" s="9"/>
      <c r="IK519" s="9"/>
      <c r="IL519" s="9"/>
      <c r="IM519" s="9"/>
      <c r="IN519" s="9"/>
      <c r="IO519" s="9"/>
      <c r="IP519" s="9"/>
      <c r="IQ519" s="9"/>
      <c r="IR519" s="9"/>
      <c r="IS519" s="9"/>
      <c r="IT519" s="9"/>
      <c r="IU519" s="9"/>
      <c r="IV519" s="9"/>
    </row>
    <row r="520" spans="1:256" outlineLevel="1">
      <c r="A520" s="16"/>
      <c r="B520" s="44"/>
      <c r="C520" s="20"/>
      <c r="D520" s="20"/>
      <c r="E520" s="20"/>
      <c r="F520" s="21"/>
      <c r="G520" s="21"/>
      <c r="H520" s="21"/>
      <c r="I520" s="21"/>
      <c r="J520" s="21"/>
      <c r="K520" s="21"/>
      <c r="L520" s="21"/>
      <c r="M520" s="21"/>
      <c r="N520" s="21"/>
      <c r="O520" s="21"/>
      <c r="P520" s="21"/>
      <c r="Q520" s="21"/>
      <c r="R520" s="20"/>
      <c r="S520" s="22">
        <f t="shared" si="37"/>
        <v>0</v>
      </c>
      <c r="T520" s="22">
        <f>COUNTIF($V$4:V520,V520)</f>
        <v>249</v>
      </c>
      <c r="U520" s="22" t="str">
        <f>IF(T520=1,COUNTIF($T$4:T520,1),"")</f>
        <v/>
      </c>
      <c r="V520" s="23" t="str">
        <f t="shared" si="38"/>
        <v/>
      </c>
      <c r="W520" s="23">
        <f t="shared" si="36"/>
        <v>0</v>
      </c>
      <c r="X520" s="24"/>
      <c r="Y520" s="23"/>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c r="EB520" s="9"/>
      <c r="EC520" s="9"/>
      <c r="ED520" s="9"/>
      <c r="EE520" s="9"/>
      <c r="EF520" s="9"/>
      <c r="EG520" s="9"/>
      <c r="EH520" s="9"/>
      <c r="EI520" s="9"/>
      <c r="EJ520" s="9"/>
      <c r="EK520" s="9"/>
      <c r="EL520" s="9"/>
      <c r="EM520" s="9"/>
      <c r="EN520" s="9"/>
      <c r="EO520" s="9"/>
      <c r="EP520" s="9"/>
      <c r="EQ520" s="9"/>
      <c r="ER520" s="9"/>
      <c r="ES520" s="9"/>
      <c r="ET520" s="9"/>
      <c r="EU520" s="9"/>
      <c r="EV520" s="9"/>
      <c r="EW520" s="9"/>
      <c r="EX520" s="9"/>
      <c r="EY520" s="9"/>
      <c r="EZ520" s="9"/>
      <c r="FA520" s="9"/>
      <c r="FB520" s="9"/>
      <c r="FC520" s="9"/>
      <c r="FD520" s="9"/>
      <c r="FE520" s="9"/>
      <c r="FF520" s="9"/>
      <c r="FG520" s="9"/>
      <c r="FH520" s="9"/>
      <c r="FI520" s="9"/>
      <c r="FJ520" s="9"/>
      <c r="FK520" s="9"/>
      <c r="FL520" s="9"/>
      <c r="FM520" s="9"/>
      <c r="FN520" s="9"/>
      <c r="FO520" s="9"/>
      <c r="FP520" s="9"/>
      <c r="FQ520" s="9"/>
      <c r="FR520" s="9"/>
      <c r="FS520" s="9"/>
      <c r="FT520" s="9"/>
      <c r="FU520" s="9"/>
      <c r="FV520" s="9"/>
      <c r="FW520" s="9"/>
      <c r="FX520" s="9"/>
      <c r="FY520" s="9"/>
      <c r="FZ520" s="9"/>
      <c r="GA520" s="9"/>
      <c r="GB520" s="9"/>
      <c r="GC520" s="9"/>
      <c r="GD520" s="9"/>
      <c r="GE520" s="9"/>
      <c r="GF520" s="9"/>
      <c r="GG520" s="9"/>
      <c r="GH520" s="9"/>
      <c r="GI520" s="9"/>
      <c r="GJ520" s="9"/>
      <c r="GK520" s="9"/>
      <c r="GL520" s="9"/>
      <c r="GM520" s="9"/>
      <c r="GN520" s="9"/>
      <c r="GO520" s="9"/>
      <c r="GP520" s="9"/>
      <c r="GQ520" s="9"/>
      <c r="GR520" s="9"/>
      <c r="GS520" s="9"/>
      <c r="GT520" s="9"/>
      <c r="GU520" s="9"/>
      <c r="GV520" s="9"/>
      <c r="GW520" s="9"/>
      <c r="GX520" s="9"/>
      <c r="GY520" s="9"/>
      <c r="GZ520" s="9"/>
      <c r="HA520" s="9"/>
      <c r="HB520" s="9"/>
      <c r="HC520" s="9"/>
      <c r="HD520" s="9"/>
      <c r="HE520" s="9"/>
      <c r="HF520" s="9"/>
      <c r="HG520" s="9"/>
      <c r="HH520" s="9"/>
      <c r="HI520" s="9"/>
      <c r="HJ520" s="9"/>
      <c r="HK520" s="9"/>
      <c r="HL520" s="9"/>
      <c r="HM520" s="9"/>
      <c r="HN520" s="9"/>
      <c r="HO520" s="9"/>
      <c r="HP520" s="9"/>
      <c r="HQ520" s="9"/>
      <c r="HR520" s="9"/>
      <c r="HS520" s="9"/>
      <c r="HT520" s="9"/>
      <c r="HU520" s="9"/>
      <c r="HV520" s="9"/>
      <c r="HW520" s="9"/>
      <c r="HX520" s="9"/>
      <c r="HY520" s="9"/>
      <c r="HZ520" s="9"/>
      <c r="IA520" s="9"/>
      <c r="IB520" s="9"/>
      <c r="IC520" s="9"/>
      <c r="ID520" s="9"/>
      <c r="IE520" s="9"/>
      <c r="IF520" s="9"/>
      <c r="IG520" s="9"/>
      <c r="IH520" s="9"/>
      <c r="II520" s="9"/>
      <c r="IJ520" s="9"/>
      <c r="IK520" s="9"/>
      <c r="IL520" s="9"/>
      <c r="IM520" s="9"/>
      <c r="IN520" s="9"/>
      <c r="IO520" s="9"/>
      <c r="IP520" s="9"/>
      <c r="IQ520" s="9"/>
      <c r="IR520" s="9"/>
      <c r="IS520" s="9"/>
      <c r="IT520" s="9"/>
      <c r="IU520" s="9"/>
      <c r="IV520" s="9"/>
    </row>
    <row r="521" spans="1:256" outlineLevel="1">
      <c r="A521" s="16"/>
      <c r="B521" s="44"/>
      <c r="C521" s="20"/>
      <c r="D521" s="20"/>
      <c r="E521" s="20"/>
      <c r="F521" s="21"/>
      <c r="G521" s="21"/>
      <c r="H521" s="21"/>
      <c r="I521" s="21"/>
      <c r="J521" s="21"/>
      <c r="K521" s="21"/>
      <c r="L521" s="21"/>
      <c r="M521" s="21"/>
      <c r="N521" s="21"/>
      <c r="O521" s="21"/>
      <c r="P521" s="21"/>
      <c r="Q521" s="21"/>
      <c r="R521" s="20"/>
      <c r="S521" s="22">
        <f t="shared" si="37"/>
        <v>0</v>
      </c>
      <c r="T521" s="22">
        <f>COUNTIF($V$4:V521,V521)</f>
        <v>250</v>
      </c>
      <c r="U521" s="22" t="str">
        <f>IF(T521=1,COUNTIF($T$4:T521,1),"")</f>
        <v/>
      </c>
      <c r="V521" s="23" t="str">
        <f t="shared" si="38"/>
        <v/>
      </c>
      <c r="W521" s="23">
        <f t="shared" si="36"/>
        <v>0</v>
      </c>
      <c r="X521" s="24"/>
      <c r="Y521" s="23"/>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c r="EB521" s="9"/>
      <c r="EC521" s="9"/>
      <c r="ED521" s="9"/>
      <c r="EE521" s="9"/>
      <c r="EF521" s="9"/>
      <c r="EG521" s="9"/>
      <c r="EH521" s="9"/>
      <c r="EI521" s="9"/>
      <c r="EJ521" s="9"/>
      <c r="EK521" s="9"/>
      <c r="EL521" s="9"/>
      <c r="EM521" s="9"/>
      <c r="EN521" s="9"/>
      <c r="EO521" s="9"/>
      <c r="EP521" s="9"/>
      <c r="EQ521" s="9"/>
      <c r="ER521" s="9"/>
      <c r="ES521" s="9"/>
      <c r="ET521" s="9"/>
      <c r="EU521" s="9"/>
      <c r="EV521" s="9"/>
      <c r="EW521" s="9"/>
      <c r="EX521" s="9"/>
      <c r="EY521" s="9"/>
      <c r="EZ521" s="9"/>
      <c r="FA521" s="9"/>
      <c r="FB521" s="9"/>
      <c r="FC521" s="9"/>
      <c r="FD521" s="9"/>
      <c r="FE521" s="9"/>
      <c r="FF521" s="9"/>
      <c r="FG521" s="9"/>
      <c r="FH521" s="9"/>
      <c r="FI521" s="9"/>
      <c r="FJ521" s="9"/>
      <c r="FK521" s="9"/>
      <c r="FL521" s="9"/>
      <c r="FM521" s="9"/>
      <c r="FN521" s="9"/>
      <c r="FO521" s="9"/>
      <c r="FP521" s="9"/>
      <c r="FQ521" s="9"/>
      <c r="FR521" s="9"/>
      <c r="FS521" s="9"/>
      <c r="FT521" s="9"/>
      <c r="FU521" s="9"/>
      <c r="FV521" s="9"/>
      <c r="FW521" s="9"/>
      <c r="FX521" s="9"/>
      <c r="FY521" s="9"/>
      <c r="FZ521" s="9"/>
      <c r="GA521" s="9"/>
      <c r="GB521" s="9"/>
      <c r="GC521" s="9"/>
      <c r="GD521" s="9"/>
      <c r="GE521" s="9"/>
      <c r="GF521" s="9"/>
      <c r="GG521" s="9"/>
      <c r="GH521" s="9"/>
      <c r="GI521" s="9"/>
      <c r="GJ521" s="9"/>
      <c r="GK521" s="9"/>
      <c r="GL521" s="9"/>
      <c r="GM521" s="9"/>
      <c r="GN521" s="9"/>
      <c r="GO521" s="9"/>
      <c r="GP521" s="9"/>
      <c r="GQ521" s="9"/>
      <c r="GR521" s="9"/>
      <c r="GS521" s="9"/>
      <c r="GT521" s="9"/>
      <c r="GU521" s="9"/>
      <c r="GV521" s="9"/>
      <c r="GW521" s="9"/>
      <c r="GX521" s="9"/>
      <c r="GY521" s="9"/>
      <c r="GZ521" s="9"/>
      <c r="HA521" s="9"/>
      <c r="HB521" s="9"/>
      <c r="HC521" s="9"/>
      <c r="HD521" s="9"/>
      <c r="HE521" s="9"/>
      <c r="HF521" s="9"/>
      <c r="HG521" s="9"/>
      <c r="HH521" s="9"/>
      <c r="HI521" s="9"/>
      <c r="HJ521" s="9"/>
      <c r="HK521" s="9"/>
      <c r="HL521" s="9"/>
      <c r="HM521" s="9"/>
      <c r="HN521" s="9"/>
      <c r="HO521" s="9"/>
      <c r="HP521" s="9"/>
      <c r="HQ521" s="9"/>
      <c r="HR521" s="9"/>
      <c r="HS521" s="9"/>
      <c r="HT521" s="9"/>
      <c r="HU521" s="9"/>
      <c r="HV521" s="9"/>
      <c r="HW521" s="9"/>
      <c r="HX521" s="9"/>
      <c r="HY521" s="9"/>
      <c r="HZ521" s="9"/>
      <c r="IA521" s="9"/>
      <c r="IB521" s="9"/>
      <c r="IC521" s="9"/>
      <c r="ID521" s="9"/>
      <c r="IE521" s="9"/>
      <c r="IF521" s="9"/>
      <c r="IG521" s="9"/>
      <c r="IH521" s="9"/>
      <c r="II521" s="9"/>
      <c r="IJ521" s="9"/>
      <c r="IK521" s="9"/>
      <c r="IL521" s="9"/>
      <c r="IM521" s="9"/>
      <c r="IN521" s="9"/>
      <c r="IO521" s="9"/>
      <c r="IP521" s="9"/>
      <c r="IQ521" s="9"/>
      <c r="IR521" s="9"/>
      <c r="IS521" s="9"/>
      <c r="IT521" s="9"/>
      <c r="IU521" s="9"/>
      <c r="IV521" s="9"/>
    </row>
    <row r="522" spans="1:256" outlineLevel="1">
      <c r="A522" s="16"/>
      <c r="B522" s="44"/>
      <c r="C522" s="20"/>
      <c r="D522" s="20"/>
      <c r="E522" s="20"/>
      <c r="F522" s="21"/>
      <c r="G522" s="21"/>
      <c r="H522" s="21"/>
      <c r="I522" s="21"/>
      <c r="J522" s="21"/>
      <c r="K522" s="21"/>
      <c r="L522" s="21"/>
      <c r="M522" s="21"/>
      <c r="N522" s="21"/>
      <c r="O522" s="21"/>
      <c r="P522" s="21"/>
      <c r="Q522" s="21"/>
      <c r="R522" s="20"/>
      <c r="S522" s="22">
        <f t="shared" si="37"/>
        <v>0</v>
      </c>
      <c r="T522" s="22">
        <f>COUNTIF($V$4:V522,V522)</f>
        <v>251</v>
      </c>
      <c r="U522" s="22" t="str">
        <f>IF(T522=1,COUNTIF($T$4:T522,1),"")</f>
        <v/>
      </c>
      <c r="V522" s="23" t="str">
        <f t="shared" si="38"/>
        <v/>
      </c>
      <c r="W522" s="23">
        <f t="shared" si="36"/>
        <v>0</v>
      </c>
      <c r="X522" s="24"/>
      <c r="Y522" s="23"/>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c r="EB522" s="9"/>
      <c r="EC522" s="9"/>
      <c r="ED522" s="9"/>
      <c r="EE522" s="9"/>
      <c r="EF522" s="9"/>
      <c r="EG522" s="9"/>
      <c r="EH522" s="9"/>
      <c r="EI522" s="9"/>
      <c r="EJ522" s="9"/>
      <c r="EK522" s="9"/>
      <c r="EL522" s="9"/>
      <c r="EM522" s="9"/>
      <c r="EN522" s="9"/>
      <c r="EO522" s="9"/>
      <c r="EP522" s="9"/>
      <c r="EQ522" s="9"/>
      <c r="ER522" s="9"/>
      <c r="ES522" s="9"/>
      <c r="ET522" s="9"/>
      <c r="EU522" s="9"/>
      <c r="EV522" s="9"/>
      <c r="EW522" s="9"/>
      <c r="EX522" s="9"/>
      <c r="EY522" s="9"/>
      <c r="EZ522" s="9"/>
      <c r="FA522" s="9"/>
      <c r="FB522" s="9"/>
      <c r="FC522" s="9"/>
      <c r="FD522" s="9"/>
      <c r="FE522" s="9"/>
      <c r="FF522" s="9"/>
      <c r="FG522" s="9"/>
      <c r="FH522" s="9"/>
      <c r="FI522" s="9"/>
      <c r="FJ522" s="9"/>
      <c r="FK522" s="9"/>
      <c r="FL522" s="9"/>
      <c r="FM522" s="9"/>
      <c r="FN522" s="9"/>
      <c r="FO522" s="9"/>
      <c r="FP522" s="9"/>
      <c r="FQ522" s="9"/>
      <c r="FR522" s="9"/>
      <c r="FS522" s="9"/>
      <c r="FT522" s="9"/>
      <c r="FU522" s="9"/>
      <c r="FV522" s="9"/>
      <c r="FW522" s="9"/>
      <c r="FX522" s="9"/>
      <c r="FY522" s="9"/>
      <c r="FZ522" s="9"/>
      <c r="GA522" s="9"/>
      <c r="GB522" s="9"/>
      <c r="GC522" s="9"/>
      <c r="GD522" s="9"/>
      <c r="GE522" s="9"/>
      <c r="GF522" s="9"/>
      <c r="GG522" s="9"/>
      <c r="GH522" s="9"/>
      <c r="GI522" s="9"/>
      <c r="GJ522" s="9"/>
      <c r="GK522" s="9"/>
      <c r="GL522" s="9"/>
      <c r="GM522" s="9"/>
      <c r="GN522" s="9"/>
      <c r="GO522" s="9"/>
      <c r="GP522" s="9"/>
      <c r="GQ522" s="9"/>
      <c r="GR522" s="9"/>
      <c r="GS522" s="9"/>
      <c r="GT522" s="9"/>
      <c r="GU522" s="9"/>
      <c r="GV522" s="9"/>
      <c r="GW522" s="9"/>
      <c r="GX522" s="9"/>
      <c r="GY522" s="9"/>
      <c r="GZ522" s="9"/>
      <c r="HA522" s="9"/>
      <c r="HB522" s="9"/>
      <c r="HC522" s="9"/>
      <c r="HD522" s="9"/>
      <c r="HE522" s="9"/>
      <c r="HF522" s="9"/>
      <c r="HG522" s="9"/>
      <c r="HH522" s="9"/>
      <c r="HI522" s="9"/>
      <c r="HJ522" s="9"/>
      <c r="HK522" s="9"/>
      <c r="HL522" s="9"/>
      <c r="HM522" s="9"/>
      <c r="HN522" s="9"/>
      <c r="HO522" s="9"/>
      <c r="HP522" s="9"/>
      <c r="HQ522" s="9"/>
      <c r="HR522" s="9"/>
      <c r="HS522" s="9"/>
      <c r="HT522" s="9"/>
      <c r="HU522" s="9"/>
      <c r="HV522" s="9"/>
      <c r="HW522" s="9"/>
      <c r="HX522" s="9"/>
      <c r="HY522" s="9"/>
      <c r="HZ522" s="9"/>
      <c r="IA522" s="9"/>
      <c r="IB522" s="9"/>
      <c r="IC522" s="9"/>
      <c r="ID522" s="9"/>
      <c r="IE522" s="9"/>
      <c r="IF522" s="9"/>
      <c r="IG522" s="9"/>
      <c r="IH522" s="9"/>
      <c r="II522" s="9"/>
      <c r="IJ522" s="9"/>
      <c r="IK522" s="9"/>
      <c r="IL522" s="9"/>
      <c r="IM522" s="9"/>
      <c r="IN522" s="9"/>
      <c r="IO522" s="9"/>
      <c r="IP522" s="9"/>
      <c r="IQ522" s="9"/>
      <c r="IR522" s="9"/>
      <c r="IS522" s="9"/>
      <c r="IT522" s="9"/>
      <c r="IU522" s="9"/>
      <c r="IV522" s="9"/>
    </row>
    <row r="523" spans="1:256" outlineLevel="1">
      <c r="A523" s="16"/>
      <c r="B523" s="44"/>
      <c r="C523" s="20"/>
      <c r="D523" s="20"/>
      <c r="E523" s="20"/>
      <c r="F523" s="21"/>
      <c r="G523" s="21"/>
      <c r="H523" s="21"/>
      <c r="I523" s="21"/>
      <c r="J523" s="21"/>
      <c r="K523" s="21"/>
      <c r="L523" s="21"/>
      <c r="M523" s="21"/>
      <c r="N523" s="21"/>
      <c r="O523" s="21"/>
      <c r="P523" s="21"/>
      <c r="Q523" s="21"/>
      <c r="R523" s="20"/>
      <c r="S523" s="22">
        <f t="shared" si="37"/>
        <v>0</v>
      </c>
      <c r="T523" s="22">
        <f>COUNTIF($V$4:V523,V523)</f>
        <v>252</v>
      </c>
      <c r="U523" s="22" t="str">
        <f>IF(T523=1,COUNTIF($T$4:T523,1),"")</f>
        <v/>
      </c>
      <c r="V523" s="23" t="str">
        <f t="shared" si="38"/>
        <v/>
      </c>
      <c r="W523" s="23">
        <f t="shared" si="36"/>
        <v>0</v>
      </c>
      <c r="X523" s="24"/>
      <c r="Y523" s="23"/>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c r="EB523" s="9"/>
      <c r="EC523" s="9"/>
      <c r="ED523" s="9"/>
      <c r="EE523" s="9"/>
      <c r="EF523" s="9"/>
      <c r="EG523" s="9"/>
      <c r="EH523" s="9"/>
      <c r="EI523" s="9"/>
      <c r="EJ523" s="9"/>
      <c r="EK523" s="9"/>
      <c r="EL523" s="9"/>
      <c r="EM523" s="9"/>
      <c r="EN523" s="9"/>
      <c r="EO523" s="9"/>
      <c r="EP523" s="9"/>
      <c r="EQ523" s="9"/>
      <c r="ER523" s="9"/>
      <c r="ES523" s="9"/>
      <c r="ET523" s="9"/>
      <c r="EU523" s="9"/>
      <c r="EV523" s="9"/>
      <c r="EW523" s="9"/>
      <c r="EX523" s="9"/>
      <c r="EY523" s="9"/>
      <c r="EZ523" s="9"/>
      <c r="FA523" s="9"/>
      <c r="FB523" s="9"/>
      <c r="FC523" s="9"/>
      <c r="FD523" s="9"/>
      <c r="FE523" s="9"/>
      <c r="FF523" s="9"/>
      <c r="FG523" s="9"/>
      <c r="FH523" s="9"/>
      <c r="FI523" s="9"/>
      <c r="FJ523" s="9"/>
      <c r="FK523" s="9"/>
      <c r="FL523" s="9"/>
      <c r="FM523" s="9"/>
      <c r="FN523" s="9"/>
      <c r="FO523" s="9"/>
      <c r="FP523" s="9"/>
      <c r="FQ523" s="9"/>
      <c r="FR523" s="9"/>
      <c r="FS523" s="9"/>
      <c r="FT523" s="9"/>
      <c r="FU523" s="9"/>
      <c r="FV523" s="9"/>
      <c r="FW523" s="9"/>
      <c r="FX523" s="9"/>
      <c r="FY523" s="9"/>
      <c r="FZ523" s="9"/>
      <c r="GA523" s="9"/>
      <c r="GB523" s="9"/>
      <c r="GC523" s="9"/>
      <c r="GD523" s="9"/>
      <c r="GE523" s="9"/>
      <c r="GF523" s="9"/>
      <c r="GG523" s="9"/>
      <c r="GH523" s="9"/>
      <c r="GI523" s="9"/>
      <c r="GJ523" s="9"/>
      <c r="GK523" s="9"/>
      <c r="GL523" s="9"/>
      <c r="GM523" s="9"/>
      <c r="GN523" s="9"/>
      <c r="GO523" s="9"/>
      <c r="GP523" s="9"/>
      <c r="GQ523" s="9"/>
      <c r="GR523" s="9"/>
      <c r="GS523" s="9"/>
      <c r="GT523" s="9"/>
      <c r="GU523" s="9"/>
      <c r="GV523" s="9"/>
      <c r="GW523" s="9"/>
      <c r="GX523" s="9"/>
      <c r="GY523" s="9"/>
      <c r="GZ523" s="9"/>
      <c r="HA523" s="9"/>
      <c r="HB523" s="9"/>
      <c r="HC523" s="9"/>
      <c r="HD523" s="9"/>
      <c r="HE523" s="9"/>
      <c r="HF523" s="9"/>
      <c r="HG523" s="9"/>
      <c r="HH523" s="9"/>
      <c r="HI523" s="9"/>
      <c r="HJ523" s="9"/>
      <c r="HK523" s="9"/>
      <c r="HL523" s="9"/>
      <c r="HM523" s="9"/>
      <c r="HN523" s="9"/>
      <c r="HO523" s="9"/>
      <c r="HP523" s="9"/>
      <c r="HQ523" s="9"/>
      <c r="HR523" s="9"/>
      <c r="HS523" s="9"/>
      <c r="HT523" s="9"/>
      <c r="HU523" s="9"/>
      <c r="HV523" s="9"/>
      <c r="HW523" s="9"/>
      <c r="HX523" s="9"/>
      <c r="HY523" s="9"/>
      <c r="HZ523" s="9"/>
      <c r="IA523" s="9"/>
      <c r="IB523" s="9"/>
      <c r="IC523" s="9"/>
      <c r="ID523" s="9"/>
      <c r="IE523" s="9"/>
      <c r="IF523" s="9"/>
      <c r="IG523" s="9"/>
      <c r="IH523" s="9"/>
      <c r="II523" s="9"/>
      <c r="IJ523" s="9"/>
      <c r="IK523" s="9"/>
      <c r="IL523" s="9"/>
      <c r="IM523" s="9"/>
      <c r="IN523" s="9"/>
      <c r="IO523" s="9"/>
      <c r="IP523" s="9"/>
      <c r="IQ523" s="9"/>
      <c r="IR523" s="9"/>
      <c r="IS523" s="9"/>
      <c r="IT523" s="9"/>
      <c r="IU523" s="9"/>
      <c r="IV523" s="9"/>
    </row>
    <row r="524" spans="1:256" outlineLevel="1">
      <c r="A524" s="16"/>
      <c r="B524" s="44"/>
      <c r="C524" s="20"/>
      <c r="D524" s="20"/>
      <c r="E524" s="20"/>
      <c r="F524" s="21"/>
      <c r="G524" s="21"/>
      <c r="H524" s="21"/>
      <c r="I524" s="21"/>
      <c r="J524" s="21"/>
      <c r="K524" s="21"/>
      <c r="L524" s="21"/>
      <c r="M524" s="21"/>
      <c r="N524" s="21"/>
      <c r="O524" s="21"/>
      <c r="P524" s="21"/>
      <c r="Q524" s="21"/>
      <c r="R524" s="20"/>
      <c r="S524" s="22">
        <f t="shared" si="37"/>
        <v>0</v>
      </c>
      <c r="T524" s="22">
        <f>COUNTIF($V$4:V524,V524)</f>
        <v>253</v>
      </c>
      <c r="U524" s="22" t="str">
        <f>IF(T524=1,COUNTIF($T$4:T524,1),"")</f>
        <v/>
      </c>
      <c r="V524" s="23" t="str">
        <f t="shared" si="38"/>
        <v/>
      </c>
      <c r="W524" s="23">
        <f t="shared" si="36"/>
        <v>0</v>
      </c>
      <c r="X524" s="24"/>
      <c r="Y524" s="23"/>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c r="EB524" s="9"/>
      <c r="EC524" s="9"/>
      <c r="ED524" s="9"/>
      <c r="EE524" s="9"/>
      <c r="EF524" s="9"/>
      <c r="EG524" s="9"/>
      <c r="EH524" s="9"/>
      <c r="EI524" s="9"/>
      <c r="EJ524" s="9"/>
      <c r="EK524" s="9"/>
      <c r="EL524" s="9"/>
      <c r="EM524" s="9"/>
      <c r="EN524" s="9"/>
      <c r="EO524" s="9"/>
      <c r="EP524" s="9"/>
      <c r="EQ524" s="9"/>
      <c r="ER524" s="9"/>
      <c r="ES524" s="9"/>
      <c r="ET524" s="9"/>
      <c r="EU524" s="9"/>
      <c r="EV524" s="9"/>
      <c r="EW524" s="9"/>
      <c r="EX524" s="9"/>
      <c r="EY524" s="9"/>
      <c r="EZ524" s="9"/>
      <c r="FA524" s="9"/>
      <c r="FB524" s="9"/>
      <c r="FC524" s="9"/>
      <c r="FD524" s="9"/>
      <c r="FE524" s="9"/>
      <c r="FF524" s="9"/>
      <c r="FG524" s="9"/>
      <c r="FH524" s="9"/>
      <c r="FI524" s="9"/>
      <c r="FJ524" s="9"/>
      <c r="FK524" s="9"/>
      <c r="FL524" s="9"/>
      <c r="FM524" s="9"/>
      <c r="FN524" s="9"/>
      <c r="FO524" s="9"/>
      <c r="FP524" s="9"/>
      <c r="FQ524" s="9"/>
      <c r="FR524" s="9"/>
      <c r="FS524" s="9"/>
      <c r="FT524" s="9"/>
      <c r="FU524" s="9"/>
      <c r="FV524" s="9"/>
      <c r="FW524" s="9"/>
      <c r="FX524" s="9"/>
      <c r="FY524" s="9"/>
      <c r="FZ524" s="9"/>
      <c r="GA524" s="9"/>
      <c r="GB524" s="9"/>
      <c r="GC524" s="9"/>
      <c r="GD524" s="9"/>
      <c r="GE524" s="9"/>
      <c r="GF524" s="9"/>
      <c r="GG524" s="9"/>
      <c r="GH524" s="9"/>
      <c r="GI524" s="9"/>
      <c r="GJ524" s="9"/>
      <c r="GK524" s="9"/>
      <c r="GL524" s="9"/>
      <c r="GM524" s="9"/>
      <c r="GN524" s="9"/>
      <c r="GO524" s="9"/>
      <c r="GP524" s="9"/>
      <c r="GQ524" s="9"/>
      <c r="GR524" s="9"/>
      <c r="GS524" s="9"/>
      <c r="GT524" s="9"/>
      <c r="GU524" s="9"/>
      <c r="GV524" s="9"/>
      <c r="GW524" s="9"/>
      <c r="GX524" s="9"/>
      <c r="GY524" s="9"/>
      <c r="GZ524" s="9"/>
      <c r="HA524" s="9"/>
      <c r="HB524" s="9"/>
      <c r="HC524" s="9"/>
      <c r="HD524" s="9"/>
      <c r="HE524" s="9"/>
      <c r="HF524" s="9"/>
      <c r="HG524" s="9"/>
      <c r="HH524" s="9"/>
      <c r="HI524" s="9"/>
      <c r="HJ524" s="9"/>
      <c r="HK524" s="9"/>
      <c r="HL524" s="9"/>
      <c r="HM524" s="9"/>
      <c r="HN524" s="9"/>
      <c r="HO524" s="9"/>
      <c r="HP524" s="9"/>
      <c r="HQ524" s="9"/>
      <c r="HR524" s="9"/>
      <c r="HS524" s="9"/>
      <c r="HT524" s="9"/>
      <c r="HU524" s="9"/>
      <c r="HV524" s="9"/>
      <c r="HW524" s="9"/>
      <c r="HX524" s="9"/>
      <c r="HY524" s="9"/>
      <c r="HZ524" s="9"/>
      <c r="IA524" s="9"/>
      <c r="IB524" s="9"/>
      <c r="IC524" s="9"/>
      <c r="ID524" s="9"/>
      <c r="IE524" s="9"/>
      <c r="IF524" s="9"/>
      <c r="IG524" s="9"/>
      <c r="IH524" s="9"/>
      <c r="II524" s="9"/>
      <c r="IJ524" s="9"/>
      <c r="IK524" s="9"/>
      <c r="IL524" s="9"/>
      <c r="IM524" s="9"/>
      <c r="IN524" s="9"/>
      <c r="IO524" s="9"/>
      <c r="IP524" s="9"/>
      <c r="IQ524" s="9"/>
      <c r="IR524" s="9"/>
      <c r="IS524" s="9"/>
      <c r="IT524" s="9"/>
      <c r="IU524" s="9"/>
      <c r="IV524" s="9"/>
    </row>
    <row r="525" spans="1:256" outlineLevel="1">
      <c r="A525" s="16"/>
      <c r="B525" s="44"/>
      <c r="C525" s="20"/>
      <c r="D525" s="20"/>
      <c r="E525" s="20"/>
      <c r="F525" s="21"/>
      <c r="G525" s="21"/>
      <c r="H525" s="21"/>
      <c r="I525" s="21"/>
      <c r="J525" s="21"/>
      <c r="K525" s="21"/>
      <c r="L525" s="21"/>
      <c r="M525" s="21"/>
      <c r="N525" s="21"/>
      <c r="O525" s="21"/>
      <c r="P525" s="21"/>
      <c r="Q525" s="21"/>
      <c r="R525" s="20"/>
      <c r="S525" s="22">
        <f t="shared" si="37"/>
        <v>0</v>
      </c>
      <c r="T525" s="22">
        <f>COUNTIF($V$4:V525,V525)</f>
        <v>254</v>
      </c>
      <c r="U525" s="22" t="str">
        <f>IF(T525=1,COUNTIF($T$4:T525,1),"")</f>
        <v/>
      </c>
      <c r="V525" s="23" t="str">
        <f t="shared" si="38"/>
        <v/>
      </c>
      <c r="W525" s="23">
        <f t="shared" si="36"/>
        <v>0</v>
      </c>
      <c r="X525" s="24"/>
      <c r="Y525" s="23"/>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c r="EB525" s="9"/>
      <c r="EC525" s="9"/>
      <c r="ED525" s="9"/>
      <c r="EE525" s="9"/>
      <c r="EF525" s="9"/>
      <c r="EG525" s="9"/>
      <c r="EH525" s="9"/>
      <c r="EI525" s="9"/>
      <c r="EJ525" s="9"/>
      <c r="EK525" s="9"/>
      <c r="EL525" s="9"/>
      <c r="EM525" s="9"/>
      <c r="EN525" s="9"/>
      <c r="EO525" s="9"/>
      <c r="EP525" s="9"/>
      <c r="EQ525" s="9"/>
      <c r="ER525" s="9"/>
      <c r="ES525" s="9"/>
      <c r="ET525" s="9"/>
      <c r="EU525" s="9"/>
      <c r="EV525" s="9"/>
      <c r="EW525" s="9"/>
      <c r="EX525" s="9"/>
      <c r="EY525" s="9"/>
      <c r="EZ525" s="9"/>
      <c r="FA525" s="9"/>
      <c r="FB525" s="9"/>
      <c r="FC525" s="9"/>
      <c r="FD525" s="9"/>
      <c r="FE525" s="9"/>
      <c r="FF525" s="9"/>
      <c r="FG525" s="9"/>
      <c r="FH525" s="9"/>
      <c r="FI525" s="9"/>
      <c r="FJ525" s="9"/>
      <c r="FK525" s="9"/>
      <c r="FL525" s="9"/>
      <c r="FM525" s="9"/>
      <c r="FN525" s="9"/>
      <c r="FO525" s="9"/>
      <c r="FP525" s="9"/>
      <c r="FQ525" s="9"/>
      <c r="FR525" s="9"/>
      <c r="FS525" s="9"/>
      <c r="FT525" s="9"/>
      <c r="FU525" s="9"/>
      <c r="FV525" s="9"/>
      <c r="FW525" s="9"/>
      <c r="FX525" s="9"/>
      <c r="FY525" s="9"/>
      <c r="FZ525" s="9"/>
      <c r="GA525" s="9"/>
      <c r="GB525" s="9"/>
      <c r="GC525" s="9"/>
      <c r="GD525" s="9"/>
      <c r="GE525" s="9"/>
      <c r="GF525" s="9"/>
      <c r="GG525" s="9"/>
      <c r="GH525" s="9"/>
      <c r="GI525" s="9"/>
      <c r="GJ525" s="9"/>
      <c r="GK525" s="9"/>
      <c r="GL525" s="9"/>
      <c r="GM525" s="9"/>
      <c r="GN525" s="9"/>
      <c r="GO525" s="9"/>
      <c r="GP525" s="9"/>
      <c r="GQ525" s="9"/>
      <c r="GR525" s="9"/>
      <c r="GS525" s="9"/>
      <c r="GT525" s="9"/>
      <c r="GU525" s="9"/>
      <c r="GV525" s="9"/>
      <c r="GW525" s="9"/>
      <c r="GX525" s="9"/>
      <c r="GY525" s="9"/>
      <c r="GZ525" s="9"/>
      <c r="HA525" s="9"/>
      <c r="HB525" s="9"/>
      <c r="HC525" s="9"/>
      <c r="HD525" s="9"/>
      <c r="HE525" s="9"/>
      <c r="HF525" s="9"/>
      <c r="HG525" s="9"/>
      <c r="HH525" s="9"/>
      <c r="HI525" s="9"/>
      <c r="HJ525" s="9"/>
      <c r="HK525" s="9"/>
      <c r="HL525" s="9"/>
      <c r="HM525" s="9"/>
      <c r="HN525" s="9"/>
      <c r="HO525" s="9"/>
      <c r="HP525" s="9"/>
      <c r="HQ525" s="9"/>
      <c r="HR525" s="9"/>
      <c r="HS525" s="9"/>
      <c r="HT525" s="9"/>
      <c r="HU525" s="9"/>
      <c r="HV525" s="9"/>
      <c r="HW525" s="9"/>
      <c r="HX525" s="9"/>
      <c r="HY525" s="9"/>
      <c r="HZ525" s="9"/>
      <c r="IA525" s="9"/>
      <c r="IB525" s="9"/>
      <c r="IC525" s="9"/>
      <c r="ID525" s="9"/>
      <c r="IE525" s="9"/>
      <c r="IF525" s="9"/>
      <c r="IG525" s="9"/>
      <c r="IH525" s="9"/>
      <c r="II525" s="9"/>
      <c r="IJ525" s="9"/>
      <c r="IK525" s="9"/>
      <c r="IL525" s="9"/>
      <c r="IM525" s="9"/>
      <c r="IN525" s="9"/>
      <c r="IO525" s="9"/>
      <c r="IP525" s="9"/>
      <c r="IQ525" s="9"/>
      <c r="IR525" s="9"/>
      <c r="IS525" s="9"/>
      <c r="IT525" s="9"/>
      <c r="IU525" s="9"/>
      <c r="IV525" s="9"/>
    </row>
    <row r="526" spans="1:256" outlineLevel="1">
      <c r="A526" s="16"/>
      <c r="B526" s="44"/>
      <c r="C526" s="20"/>
      <c r="D526" s="20"/>
      <c r="E526" s="20"/>
      <c r="F526" s="21"/>
      <c r="G526" s="21"/>
      <c r="H526" s="21"/>
      <c r="I526" s="21"/>
      <c r="J526" s="21"/>
      <c r="K526" s="21"/>
      <c r="L526" s="21"/>
      <c r="M526" s="21"/>
      <c r="N526" s="21"/>
      <c r="O526" s="21"/>
      <c r="P526" s="21"/>
      <c r="Q526" s="21"/>
      <c r="R526" s="20"/>
      <c r="S526" s="22">
        <f t="shared" si="37"/>
        <v>0</v>
      </c>
      <c r="T526" s="22">
        <f>COUNTIF($V$4:V526,V526)</f>
        <v>255</v>
      </c>
      <c r="U526" s="22" t="str">
        <f>IF(T526=1,COUNTIF($T$4:T526,1),"")</f>
        <v/>
      </c>
      <c r="V526" s="23" t="str">
        <f t="shared" si="38"/>
        <v/>
      </c>
      <c r="W526" s="23">
        <f t="shared" si="36"/>
        <v>0</v>
      </c>
      <c r="X526" s="24"/>
      <c r="Y526" s="23"/>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c r="EB526" s="9"/>
      <c r="EC526" s="9"/>
      <c r="ED526" s="9"/>
      <c r="EE526" s="9"/>
      <c r="EF526" s="9"/>
      <c r="EG526" s="9"/>
      <c r="EH526" s="9"/>
      <c r="EI526" s="9"/>
      <c r="EJ526" s="9"/>
      <c r="EK526" s="9"/>
      <c r="EL526" s="9"/>
      <c r="EM526" s="9"/>
      <c r="EN526" s="9"/>
      <c r="EO526" s="9"/>
      <c r="EP526" s="9"/>
      <c r="EQ526" s="9"/>
      <c r="ER526" s="9"/>
      <c r="ES526" s="9"/>
      <c r="ET526" s="9"/>
      <c r="EU526" s="9"/>
      <c r="EV526" s="9"/>
      <c r="EW526" s="9"/>
      <c r="EX526" s="9"/>
      <c r="EY526" s="9"/>
      <c r="EZ526" s="9"/>
      <c r="FA526" s="9"/>
      <c r="FB526" s="9"/>
      <c r="FC526" s="9"/>
      <c r="FD526" s="9"/>
      <c r="FE526" s="9"/>
      <c r="FF526" s="9"/>
      <c r="FG526" s="9"/>
      <c r="FH526" s="9"/>
      <c r="FI526" s="9"/>
      <c r="FJ526" s="9"/>
      <c r="FK526" s="9"/>
      <c r="FL526" s="9"/>
      <c r="FM526" s="9"/>
      <c r="FN526" s="9"/>
      <c r="FO526" s="9"/>
      <c r="FP526" s="9"/>
      <c r="FQ526" s="9"/>
      <c r="FR526" s="9"/>
      <c r="FS526" s="9"/>
      <c r="FT526" s="9"/>
      <c r="FU526" s="9"/>
      <c r="FV526" s="9"/>
      <c r="FW526" s="9"/>
      <c r="FX526" s="9"/>
      <c r="FY526" s="9"/>
      <c r="FZ526" s="9"/>
      <c r="GA526" s="9"/>
      <c r="GB526" s="9"/>
      <c r="GC526" s="9"/>
      <c r="GD526" s="9"/>
      <c r="GE526" s="9"/>
      <c r="GF526" s="9"/>
      <c r="GG526" s="9"/>
      <c r="GH526" s="9"/>
      <c r="GI526" s="9"/>
      <c r="GJ526" s="9"/>
      <c r="GK526" s="9"/>
      <c r="GL526" s="9"/>
      <c r="GM526" s="9"/>
      <c r="GN526" s="9"/>
      <c r="GO526" s="9"/>
      <c r="GP526" s="9"/>
      <c r="GQ526" s="9"/>
      <c r="GR526" s="9"/>
      <c r="GS526" s="9"/>
      <c r="GT526" s="9"/>
      <c r="GU526" s="9"/>
      <c r="GV526" s="9"/>
      <c r="GW526" s="9"/>
      <c r="GX526" s="9"/>
      <c r="GY526" s="9"/>
      <c r="GZ526" s="9"/>
      <c r="HA526" s="9"/>
      <c r="HB526" s="9"/>
      <c r="HC526" s="9"/>
      <c r="HD526" s="9"/>
      <c r="HE526" s="9"/>
      <c r="HF526" s="9"/>
      <c r="HG526" s="9"/>
      <c r="HH526" s="9"/>
      <c r="HI526" s="9"/>
      <c r="HJ526" s="9"/>
      <c r="HK526" s="9"/>
      <c r="HL526" s="9"/>
      <c r="HM526" s="9"/>
      <c r="HN526" s="9"/>
      <c r="HO526" s="9"/>
      <c r="HP526" s="9"/>
      <c r="HQ526" s="9"/>
      <c r="HR526" s="9"/>
      <c r="HS526" s="9"/>
      <c r="HT526" s="9"/>
      <c r="HU526" s="9"/>
      <c r="HV526" s="9"/>
      <c r="HW526" s="9"/>
      <c r="HX526" s="9"/>
      <c r="HY526" s="9"/>
      <c r="HZ526" s="9"/>
      <c r="IA526" s="9"/>
      <c r="IB526" s="9"/>
      <c r="IC526" s="9"/>
      <c r="ID526" s="9"/>
      <c r="IE526" s="9"/>
      <c r="IF526" s="9"/>
      <c r="IG526" s="9"/>
      <c r="IH526" s="9"/>
      <c r="II526" s="9"/>
      <c r="IJ526" s="9"/>
      <c r="IK526" s="9"/>
      <c r="IL526" s="9"/>
      <c r="IM526" s="9"/>
      <c r="IN526" s="9"/>
      <c r="IO526" s="9"/>
      <c r="IP526" s="9"/>
      <c r="IQ526" s="9"/>
      <c r="IR526" s="9"/>
      <c r="IS526" s="9"/>
      <c r="IT526" s="9"/>
      <c r="IU526" s="9"/>
      <c r="IV526" s="9"/>
    </row>
    <row r="527" spans="1:256" outlineLevel="1">
      <c r="A527" s="16"/>
      <c r="B527" s="44"/>
      <c r="C527" s="20"/>
      <c r="D527" s="20"/>
      <c r="E527" s="20"/>
      <c r="F527" s="21"/>
      <c r="G527" s="21"/>
      <c r="H527" s="21"/>
      <c r="I527" s="21"/>
      <c r="J527" s="21"/>
      <c r="K527" s="21"/>
      <c r="L527" s="21"/>
      <c r="M527" s="21"/>
      <c r="N527" s="21"/>
      <c r="O527" s="21"/>
      <c r="P527" s="21"/>
      <c r="Q527" s="21"/>
      <c r="R527" s="20"/>
      <c r="S527" s="22">
        <f t="shared" si="37"/>
        <v>0</v>
      </c>
      <c r="T527" s="22">
        <f>COUNTIF($V$4:V527,V527)</f>
        <v>256</v>
      </c>
      <c r="U527" s="22" t="str">
        <f>IF(T527=1,COUNTIF($T$4:T527,1),"")</f>
        <v/>
      </c>
      <c r="V527" s="23" t="str">
        <f t="shared" si="38"/>
        <v/>
      </c>
      <c r="W527" s="23">
        <f t="shared" si="36"/>
        <v>0</v>
      </c>
      <c r="X527" s="24"/>
      <c r="Y527" s="23"/>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c r="EB527" s="9"/>
      <c r="EC527" s="9"/>
      <c r="ED527" s="9"/>
      <c r="EE527" s="9"/>
      <c r="EF527" s="9"/>
      <c r="EG527" s="9"/>
      <c r="EH527" s="9"/>
      <c r="EI527" s="9"/>
      <c r="EJ527" s="9"/>
      <c r="EK527" s="9"/>
      <c r="EL527" s="9"/>
      <c r="EM527" s="9"/>
      <c r="EN527" s="9"/>
      <c r="EO527" s="9"/>
      <c r="EP527" s="9"/>
      <c r="EQ527" s="9"/>
      <c r="ER527" s="9"/>
      <c r="ES527" s="9"/>
      <c r="ET527" s="9"/>
      <c r="EU527" s="9"/>
      <c r="EV527" s="9"/>
      <c r="EW527" s="9"/>
      <c r="EX527" s="9"/>
      <c r="EY527" s="9"/>
      <c r="EZ527" s="9"/>
      <c r="FA527" s="9"/>
      <c r="FB527" s="9"/>
      <c r="FC527" s="9"/>
      <c r="FD527" s="9"/>
      <c r="FE527" s="9"/>
      <c r="FF527" s="9"/>
      <c r="FG527" s="9"/>
      <c r="FH527" s="9"/>
      <c r="FI527" s="9"/>
      <c r="FJ527" s="9"/>
      <c r="FK527" s="9"/>
      <c r="FL527" s="9"/>
      <c r="FM527" s="9"/>
      <c r="FN527" s="9"/>
      <c r="FO527" s="9"/>
      <c r="FP527" s="9"/>
      <c r="FQ527" s="9"/>
      <c r="FR527" s="9"/>
      <c r="FS527" s="9"/>
      <c r="FT527" s="9"/>
      <c r="FU527" s="9"/>
      <c r="FV527" s="9"/>
      <c r="FW527" s="9"/>
      <c r="FX527" s="9"/>
      <c r="FY527" s="9"/>
      <c r="FZ527" s="9"/>
      <c r="GA527" s="9"/>
      <c r="GB527" s="9"/>
      <c r="GC527" s="9"/>
      <c r="GD527" s="9"/>
      <c r="GE527" s="9"/>
      <c r="GF527" s="9"/>
      <c r="GG527" s="9"/>
      <c r="GH527" s="9"/>
      <c r="GI527" s="9"/>
      <c r="GJ527" s="9"/>
      <c r="GK527" s="9"/>
      <c r="GL527" s="9"/>
      <c r="GM527" s="9"/>
      <c r="GN527" s="9"/>
      <c r="GO527" s="9"/>
      <c r="GP527" s="9"/>
      <c r="GQ527" s="9"/>
      <c r="GR527" s="9"/>
      <c r="GS527" s="9"/>
      <c r="GT527" s="9"/>
      <c r="GU527" s="9"/>
      <c r="GV527" s="9"/>
      <c r="GW527" s="9"/>
      <c r="GX527" s="9"/>
      <c r="GY527" s="9"/>
      <c r="GZ527" s="9"/>
      <c r="HA527" s="9"/>
      <c r="HB527" s="9"/>
      <c r="HC527" s="9"/>
      <c r="HD527" s="9"/>
      <c r="HE527" s="9"/>
      <c r="HF527" s="9"/>
      <c r="HG527" s="9"/>
      <c r="HH527" s="9"/>
      <c r="HI527" s="9"/>
      <c r="HJ527" s="9"/>
      <c r="HK527" s="9"/>
      <c r="HL527" s="9"/>
      <c r="HM527" s="9"/>
      <c r="HN527" s="9"/>
      <c r="HO527" s="9"/>
      <c r="HP527" s="9"/>
      <c r="HQ527" s="9"/>
      <c r="HR527" s="9"/>
      <c r="HS527" s="9"/>
      <c r="HT527" s="9"/>
      <c r="HU527" s="9"/>
      <c r="HV527" s="9"/>
      <c r="HW527" s="9"/>
      <c r="HX527" s="9"/>
      <c r="HY527" s="9"/>
      <c r="HZ527" s="9"/>
      <c r="IA527" s="9"/>
      <c r="IB527" s="9"/>
      <c r="IC527" s="9"/>
      <c r="ID527" s="9"/>
      <c r="IE527" s="9"/>
      <c r="IF527" s="9"/>
      <c r="IG527" s="9"/>
      <c r="IH527" s="9"/>
      <c r="II527" s="9"/>
      <c r="IJ527" s="9"/>
      <c r="IK527" s="9"/>
      <c r="IL527" s="9"/>
      <c r="IM527" s="9"/>
      <c r="IN527" s="9"/>
      <c r="IO527" s="9"/>
      <c r="IP527" s="9"/>
      <c r="IQ527" s="9"/>
      <c r="IR527" s="9"/>
      <c r="IS527" s="9"/>
      <c r="IT527" s="9"/>
      <c r="IU527" s="9"/>
      <c r="IV527" s="9"/>
    </row>
    <row r="528" spans="1:256" outlineLevel="1">
      <c r="A528" s="16"/>
      <c r="B528" s="44"/>
      <c r="C528" s="20"/>
      <c r="D528" s="20"/>
      <c r="E528" s="20"/>
      <c r="F528" s="21"/>
      <c r="G528" s="21"/>
      <c r="H528" s="21"/>
      <c r="I528" s="21"/>
      <c r="J528" s="21"/>
      <c r="K528" s="21"/>
      <c r="L528" s="21"/>
      <c r="M528" s="21"/>
      <c r="N528" s="21"/>
      <c r="O528" s="21"/>
      <c r="P528" s="21"/>
      <c r="Q528" s="21"/>
      <c r="R528" s="20"/>
      <c r="S528" s="22">
        <f t="shared" si="37"/>
        <v>0</v>
      </c>
      <c r="T528" s="22">
        <f>COUNTIF($V$4:V528,V528)</f>
        <v>257</v>
      </c>
      <c r="U528" s="22" t="str">
        <f>IF(T528=1,COUNTIF($T$4:T528,1),"")</f>
        <v/>
      </c>
      <c r="V528" s="23" t="str">
        <f t="shared" si="38"/>
        <v/>
      </c>
      <c r="W528" s="23">
        <f t="shared" si="36"/>
        <v>0</v>
      </c>
      <c r="X528" s="24"/>
      <c r="Y528" s="23"/>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c r="EB528" s="9"/>
      <c r="EC528" s="9"/>
      <c r="ED528" s="9"/>
      <c r="EE528" s="9"/>
      <c r="EF528" s="9"/>
      <c r="EG528" s="9"/>
      <c r="EH528" s="9"/>
      <c r="EI528" s="9"/>
      <c r="EJ528" s="9"/>
      <c r="EK528" s="9"/>
      <c r="EL528" s="9"/>
      <c r="EM528" s="9"/>
      <c r="EN528" s="9"/>
      <c r="EO528" s="9"/>
      <c r="EP528" s="9"/>
      <c r="EQ528" s="9"/>
      <c r="ER528" s="9"/>
      <c r="ES528" s="9"/>
      <c r="ET528" s="9"/>
      <c r="EU528" s="9"/>
      <c r="EV528" s="9"/>
      <c r="EW528" s="9"/>
      <c r="EX528" s="9"/>
      <c r="EY528" s="9"/>
      <c r="EZ528" s="9"/>
      <c r="FA528" s="9"/>
      <c r="FB528" s="9"/>
      <c r="FC528" s="9"/>
      <c r="FD528" s="9"/>
      <c r="FE528" s="9"/>
      <c r="FF528" s="9"/>
      <c r="FG528" s="9"/>
      <c r="FH528" s="9"/>
      <c r="FI528" s="9"/>
      <c r="FJ528" s="9"/>
      <c r="FK528" s="9"/>
      <c r="FL528" s="9"/>
      <c r="FM528" s="9"/>
      <c r="FN528" s="9"/>
      <c r="FO528" s="9"/>
      <c r="FP528" s="9"/>
      <c r="FQ528" s="9"/>
      <c r="FR528" s="9"/>
      <c r="FS528" s="9"/>
      <c r="FT528" s="9"/>
      <c r="FU528" s="9"/>
      <c r="FV528" s="9"/>
      <c r="FW528" s="9"/>
      <c r="FX528" s="9"/>
      <c r="FY528" s="9"/>
      <c r="FZ528" s="9"/>
      <c r="GA528" s="9"/>
      <c r="GB528" s="9"/>
      <c r="GC528" s="9"/>
      <c r="GD528" s="9"/>
      <c r="GE528" s="9"/>
      <c r="GF528" s="9"/>
      <c r="GG528" s="9"/>
      <c r="GH528" s="9"/>
      <c r="GI528" s="9"/>
      <c r="GJ528" s="9"/>
      <c r="GK528" s="9"/>
      <c r="GL528" s="9"/>
      <c r="GM528" s="9"/>
      <c r="GN528" s="9"/>
      <c r="GO528" s="9"/>
      <c r="GP528" s="9"/>
      <c r="GQ528" s="9"/>
      <c r="GR528" s="9"/>
      <c r="GS528" s="9"/>
      <c r="GT528" s="9"/>
      <c r="GU528" s="9"/>
      <c r="GV528" s="9"/>
      <c r="GW528" s="9"/>
      <c r="GX528" s="9"/>
      <c r="GY528" s="9"/>
      <c r="GZ528" s="9"/>
      <c r="HA528" s="9"/>
      <c r="HB528" s="9"/>
      <c r="HC528" s="9"/>
      <c r="HD528" s="9"/>
      <c r="HE528" s="9"/>
      <c r="HF528" s="9"/>
      <c r="HG528" s="9"/>
      <c r="HH528" s="9"/>
      <c r="HI528" s="9"/>
      <c r="HJ528" s="9"/>
      <c r="HK528" s="9"/>
      <c r="HL528" s="9"/>
      <c r="HM528" s="9"/>
      <c r="HN528" s="9"/>
      <c r="HO528" s="9"/>
      <c r="HP528" s="9"/>
      <c r="HQ528" s="9"/>
      <c r="HR528" s="9"/>
      <c r="HS528" s="9"/>
      <c r="HT528" s="9"/>
      <c r="HU528" s="9"/>
      <c r="HV528" s="9"/>
      <c r="HW528" s="9"/>
      <c r="HX528" s="9"/>
      <c r="HY528" s="9"/>
      <c r="HZ528" s="9"/>
      <c r="IA528" s="9"/>
      <c r="IB528" s="9"/>
      <c r="IC528" s="9"/>
      <c r="ID528" s="9"/>
      <c r="IE528" s="9"/>
      <c r="IF528" s="9"/>
      <c r="IG528" s="9"/>
      <c r="IH528" s="9"/>
      <c r="II528" s="9"/>
      <c r="IJ528" s="9"/>
      <c r="IK528" s="9"/>
      <c r="IL528" s="9"/>
      <c r="IM528" s="9"/>
      <c r="IN528" s="9"/>
      <c r="IO528" s="9"/>
      <c r="IP528" s="9"/>
      <c r="IQ528" s="9"/>
      <c r="IR528" s="9"/>
      <c r="IS528" s="9"/>
      <c r="IT528" s="9"/>
      <c r="IU528" s="9"/>
      <c r="IV528" s="9"/>
    </row>
    <row r="529" spans="1:256" outlineLevel="1">
      <c r="A529" s="16"/>
      <c r="B529" s="44"/>
      <c r="C529" s="20"/>
      <c r="D529" s="20"/>
      <c r="E529" s="20"/>
      <c r="F529" s="21"/>
      <c r="G529" s="21"/>
      <c r="H529" s="21"/>
      <c r="I529" s="21"/>
      <c r="J529" s="21"/>
      <c r="K529" s="21"/>
      <c r="L529" s="21"/>
      <c r="M529" s="21"/>
      <c r="N529" s="21"/>
      <c r="O529" s="21"/>
      <c r="P529" s="21"/>
      <c r="Q529" s="21"/>
      <c r="R529" s="20"/>
      <c r="S529" s="22">
        <f t="shared" si="37"/>
        <v>0</v>
      </c>
      <c r="T529" s="22">
        <f>COUNTIF($V$4:V529,V529)</f>
        <v>258</v>
      </c>
      <c r="U529" s="22" t="str">
        <f>IF(T529=1,COUNTIF($T$4:T529,1),"")</f>
        <v/>
      </c>
      <c r="V529" s="23" t="str">
        <f t="shared" si="38"/>
        <v/>
      </c>
      <c r="W529" s="23">
        <f t="shared" si="36"/>
        <v>0</v>
      </c>
      <c r="X529" s="24"/>
      <c r="Y529" s="23"/>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9"/>
      <c r="ED529" s="9"/>
      <c r="EE529" s="9"/>
      <c r="EF529" s="9"/>
      <c r="EG529" s="9"/>
      <c r="EH529" s="9"/>
      <c r="EI529" s="9"/>
      <c r="EJ529" s="9"/>
      <c r="EK529" s="9"/>
      <c r="EL529" s="9"/>
      <c r="EM529" s="9"/>
      <c r="EN529" s="9"/>
      <c r="EO529" s="9"/>
      <c r="EP529" s="9"/>
      <c r="EQ529" s="9"/>
      <c r="ER529" s="9"/>
      <c r="ES529" s="9"/>
      <c r="ET529" s="9"/>
      <c r="EU529" s="9"/>
      <c r="EV529" s="9"/>
      <c r="EW529" s="9"/>
      <c r="EX529" s="9"/>
      <c r="EY529" s="9"/>
      <c r="EZ529" s="9"/>
      <c r="FA529" s="9"/>
      <c r="FB529" s="9"/>
      <c r="FC529" s="9"/>
      <c r="FD529" s="9"/>
      <c r="FE529" s="9"/>
      <c r="FF529" s="9"/>
      <c r="FG529" s="9"/>
      <c r="FH529" s="9"/>
      <c r="FI529" s="9"/>
      <c r="FJ529" s="9"/>
      <c r="FK529" s="9"/>
      <c r="FL529" s="9"/>
      <c r="FM529" s="9"/>
      <c r="FN529" s="9"/>
      <c r="FO529" s="9"/>
      <c r="FP529" s="9"/>
      <c r="FQ529" s="9"/>
      <c r="FR529" s="9"/>
      <c r="FS529" s="9"/>
      <c r="FT529" s="9"/>
      <c r="FU529" s="9"/>
      <c r="FV529" s="9"/>
      <c r="FW529" s="9"/>
      <c r="FX529" s="9"/>
      <c r="FY529" s="9"/>
      <c r="FZ529" s="9"/>
      <c r="GA529" s="9"/>
      <c r="GB529" s="9"/>
      <c r="GC529" s="9"/>
      <c r="GD529" s="9"/>
      <c r="GE529" s="9"/>
      <c r="GF529" s="9"/>
      <c r="GG529" s="9"/>
      <c r="GH529" s="9"/>
      <c r="GI529" s="9"/>
      <c r="GJ529" s="9"/>
      <c r="GK529" s="9"/>
      <c r="GL529" s="9"/>
      <c r="GM529" s="9"/>
      <c r="GN529" s="9"/>
      <c r="GO529" s="9"/>
      <c r="GP529" s="9"/>
      <c r="GQ529" s="9"/>
      <c r="GR529" s="9"/>
      <c r="GS529" s="9"/>
      <c r="GT529" s="9"/>
      <c r="GU529" s="9"/>
      <c r="GV529" s="9"/>
      <c r="GW529" s="9"/>
      <c r="GX529" s="9"/>
      <c r="GY529" s="9"/>
      <c r="GZ529" s="9"/>
      <c r="HA529" s="9"/>
      <c r="HB529" s="9"/>
      <c r="HC529" s="9"/>
      <c r="HD529" s="9"/>
      <c r="HE529" s="9"/>
      <c r="HF529" s="9"/>
      <c r="HG529" s="9"/>
      <c r="HH529" s="9"/>
      <c r="HI529" s="9"/>
      <c r="HJ529" s="9"/>
      <c r="HK529" s="9"/>
      <c r="HL529" s="9"/>
      <c r="HM529" s="9"/>
      <c r="HN529" s="9"/>
      <c r="HO529" s="9"/>
      <c r="HP529" s="9"/>
      <c r="HQ529" s="9"/>
      <c r="HR529" s="9"/>
      <c r="HS529" s="9"/>
      <c r="HT529" s="9"/>
      <c r="HU529" s="9"/>
      <c r="HV529" s="9"/>
      <c r="HW529" s="9"/>
      <c r="HX529" s="9"/>
      <c r="HY529" s="9"/>
      <c r="HZ529" s="9"/>
      <c r="IA529" s="9"/>
      <c r="IB529" s="9"/>
      <c r="IC529" s="9"/>
      <c r="ID529" s="9"/>
      <c r="IE529" s="9"/>
      <c r="IF529" s="9"/>
      <c r="IG529" s="9"/>
      <c r="IH529" s="9"/>
      <c r="II529" s="9"/>
      <c r="IJ529" s="9"/>
      <c r="IK529" s="9"/>
      <c r="IL529" s="9"/>
      <c r="IM529" s="9"/>
      <c r="IN529" s="9"/>
      <c r="IO529" s="9"/>
      <c r="IP529" s="9"/>
      <c r="IQ529" s="9"/>
      <c r="IR529" s="9"/>
      <c r="IS529" s="9"/>
      <c r="IT529" s="9"/>
      <c r="IU529" s="9"/>
      <c r="IV529" s="9"/>
    </row>
    <row r="530" spans="1:256" outlineLevel="1">
      <c r="A530" s="16"/>
      <c r="B530" s="44"/>
      <c r="C530" s="20"/>
      <c r="D530" s="20"/>
      <c r="E530" s="20"/>
      <c r="F530" s="21"/>
      <c r="G530" s="21"/>
      <c r="H530" s="21"/>
      <c r="I530" s="21"/>
      <c r="J530" s="21"/>
      <c r="K530" s="21"/>
      <c r="L530" s="21"/>
      <c r="M530" s="21"/>
      <c r="N530" s="21"/>
      <c r="O530" s="21"/>
      <c r="P530" s="21"/>
      <c r="Q530" s="21"/>
      <c r="R530" s="20"/>
      <c r="S530" s="22">
        <f t="shared" si="37"/>
        <v>0</v>
      </c>
      <c r="T530" s="22">
        <f>COUNTIF($V$4:V530,V530)</f>
        <v>259</v>
      </c>
      <c r="U530" s="22" t="str">
        <f>IF(T530=1,COUNTIF($T$4:T530,1),"")</f>
        <v/>
      </c>
      <c r="V530" s="23" t="str">
        <f t="shared" si="38"/>
        <v/>
      </c>
      <c r="W530" s="23">
        <f t="shared" si="36"/>
        <v>0</v>
      </c>
      <c r="X530" s="24"/>
      <c r="Y530" s="23"/>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9"/>
      <c r="ED530" s="9"/>
      <c r="EE530" s="9"/>
      <c r="EF530" s="9"/>
      <c r="EG530" s="9"/>
      <c r="EH530" s="9"/>
      <c r="EI530" s="9"/>
      <c r="EJ530" s="9"/>
      <c r="EK530" s="9"/>
      <c r="EL530" s="9"/>
      <c r="EM530" s="9"/>
      <c r="EN530" s="9"/>
      <c r="EO530" s="9"/>
      <c r="EP530" s="9"/>
      <c r="EQ530" s="9"/>
      <c r="ER530" s="9"/>
      <c r="ES530" s="9"/>
      <c r="ET530" s="9"/>
      <c r="EU530" s="9"/>
      <c r="EV530" s="9"/>
      <c r="EW530" s="9"/>
      <c r="EX530" s="9"/>
      <c r="EY530" s="9"/>
      <c r="EZ530" s="9"/>
      <c r="FA530" s="9"/>
      <c r="FB530" s="9"/>
      <c r="FC530" s="9"/>
      <c r="FD530" s="9"/>
      <c r="FE530" s="9"/>
      <c r="FF530" s="9"/>
      <c r="FG530" s="9"/>
      <c r="FH530" s="9"/>
      <c r="FI530" s="9"/>
      <c r="FJ530" s="9"/>
      <c r="FK530" s="9"/>
      <c r="FL530" s="9"/>
      <c r="FM530" s="9"/>
      <c r="FN530" s="9"/>
      <c r="FO530" s="9"/>
      <c r="FP530" s="9"/>
      <c r="FQ530" s="9"/>
      <c r="FR530" s="9"/>
      <c r="FS530" s="9"/>
      <c r="FT530" s="9"/>
      <c r="FU530" s="9"/>
      <c r="FV530" s="9"/>
      <c r="FW530" s="9"/>
      <c r="FX530" s="9"/>
      <c r="FY530" s="9"/>
      <c r="FZ530" s="9"/>
      <c r="GA530" s="9"/>
      <c r="GB530" s="9"/>
      <c r="GC530" s="9"/>
      <c r="GD530" s="9"/>
      <c r="GE530" s="9"/>
      <c r="GF530" s="9"/>
      <c r="GG530" s="9"/>
      <c r="GH530" s="9"/>
      <c r="GI530" s="9"/>
      <c r="GJ530" s="9"/>
      <c r="GK530" s="9"/>
      <c r="GL530" s="9"/>
      <c r="GM530" s="9"/>
      <c r="GN530" s="9"/>
      <c r="GO530" s="9"/>
      <c r="GP530" s="9"/>
      <c r="GQ530" s="9"/>
      <c r="GR530" s="9"/>
      <c r="GS530" s="9"/>
      <c r="GT530" s="9"/>
      <c r="GU530" s="9"/>
      <c r="GV530" s="9"/>
      <c r="GW530" s="9"/>
      <c r="GX530" s="9"/>
      <c r="GY530" s="9"/>
      <c r="GZ530" s="9"/>
      <c r="HA530" s="9"/>
      <c r="HB530" s="9"/>
      <c r="HC530" s="9"/>
      <c r="HD530" s="9"/>
      <c r="HE530" s="9"/>
      <c r="HF530" s="9"/>
      <c r="HG530" s="9"/>
      <c r="HH530" s="9"/>
      <c r="HI530" s="9"/>
      <c r="HJ530" s="9"/>
      <c r="HK530" s="9"/>
      <c r="HL530" s="9"/>
      <c r="HM530" s="9"/>
      <c r="HN530" s="9"/>
      <c r="HO530" s="9"/>
      <c r="HP530" s="9"/>
      <c r="HQ530" s="9"/>
      <c r="HR530" s="9"/>
      <c r="HS530" s="9"/>
      <c r="HT530" s="9"/>
      <c r="HU530" s="9"/>
      <c r="HV530" s="9"/>
      <c r="HW530" s="9"/>
      <c r="HX530" s="9"/>
      <c r="HY530" s="9"/>
      <c r="HZ530" s="9"/>
      <c r="IA530" s="9"/>
      <c r="IB530" s="9"/>
      <c r="IC530" s="9"/>
      <c r="ID530" s="9"/>
      <c r="IE530" s="9"/>
      <c r="IF530" s="9"/>
      <c r="IG530" s="9"/>
      <c r="IH530" s="9"/>
      <c r="II530" s="9"/>
      <c r="IJ530" s="9"/>
      <c r="IK530" s="9"/>
      <c r="IL530" s="9"/>
      <c r="IM530" s="9"/>
      <c r="IN530" s="9"/>
      <c r="IO530" s="9"/>
      <c r="IP530" s="9"/>
      <c r="IQ530" s="9"/>
      <c r="IR530" s="9"/>
      <c r="IS530" s="9"/>
      <c r="IT530" s="9"/>
      <c r="IU530" s="9"/>
      <c r="IV530" s="9"/>
    </row>
    <row r="531" spans="1:256" outlineLevel="1">
      <c r="A531" s="16"/>
      <c r="B531" s="44"/>
      <c r="C531" s="20"/>
      <c r="D531" s="20"/>
      <c r="E531" s="20"/>
      <c r="F531" s="21"/>
      <c r="G531" s="21"/>
      <c r="H531" s="21"/>
      <c r="I531" s="21"/>
      <c r="J531" s="21"/>
      <c r="K531" s="21"/>
      <c r="L531" s="21"/>
      <c r="M531" s="21"/>
      <c r="N531" s="21"/>
      <c r="O531" s="21"/>
      <c r="P531" s="21"/>
      <c r="Q531" s="21"/>
      <c r="R531" s="20"/>
      <c r="S531" s="22">
        <f t="shared" si="37"/>
        <v>0</v>
      </c>
      <c r="T531" s="22">
        <f>COUNTIF($V$4:V531,V531)</f>
        <v>260</v>
      </c>
      <c r="U531" s="22" t="str">
        <f>IF(T531=1,COUNTIF($T$4:T531,1),"")</f>
        <v/>
      </c>
      <c r="V531" s="23" t="str">
        <f t="shared" si="38"/>
        <v/>
      </c>
      <c r="W531" s="23">
        <f t="shared" si="36"/>
        <v>0</v>
      </c>
      <c r="X531" s="24"/>
      <c r="Y531" s="23"/>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c r="EB531" s="9"/>
      <c r="EC531" s="9"/>
      <c r="ED531" s="9"/>
      <c r="EE531" s="9"/>
      <c r="EF531" s="9"/>
      <c r="EG531" s="9"/>
      <c r="EH531" s="9"/>
      <c r="EI531" s="9"/>
      <c r="EJ531" s="9"/>
      <c r="EK531" s="9"/>
      <c r="EL531" s="9"/>
      <c r="EM531" s="9"/>
      <c r="EN531" s="9"/>
      <c r="EO531" s="9"/>
      <c r="EP531" s="9"/>
      <c r="EQ531" s="9"/>
      <c r="ER531" s="9"/>
      <c r="ES531" s="9"/>
      <c r="ET531" s="9"/>
      <c r="EU531" s="9"/>
      <c r="EV531" s="9"/>
      <c r="EW531" s="9"/>
      <c r="EX531" s="9"/>
      <c r="EY531" s="9"/>
      <c r="EZ531" s="9"/>
      <c r="FA531" s="9"/>
      <c r="FB531" s="9"/>
      <c r="FC531" s="9"/>
      <c r="FD531" s="9"/>
      <c r="FE531" s="9"/>
      <c r="FF531" s="9"/>
      <c r="FG531" s="9"/>
      <c r="FH531" s="9"/>
      <c r="FI531" s="9"/>
      <c r="FJ531" s="9"/>
      <c r="FK531" s="9"/>
      <c r="FL531" s="9"/>
      <c r="FM531" s="9"/>
      <c r="FN531" s="9"/>
      <c r="FO531" s="9"/>
      <c r="FP531" s="9"/>
      <c r="FQ531" s="9"/>
      <c r="FR531" s="9"/>
      <c r="FS531" s="9"/>
      <c r="FT531" s="9"/>
      <c r="FU531" s="9"/>
      <c r="FV531" s="9"/>
      <c r="FW531" s="9"/>
      <c r="FX531" s="9"/>
      <c r="FY531" s="9"/>
      <c r="FZ531" s="9"/>
      <c r="GA531" s="9"/>
      <c r="GB531" s="9"/>
      <c r="GC531" s="9"/>
      <c r="GD531" s="9"/>
      <c r="GE531" s="9"/>
      <c r="GF531" s="9"/>
      <c r="GG531" s="9"/>
      <c r="GH531" s="9"/>
      <c r="GI531" s="9"/>
      <c r="GJ531" s="9"/>
      <c r="GK531" s="9"/>
      <c r="GL531" s="9"/>
      <c r="GM531" s="9"/>
      <c r="GN531" s="9"/>
      <c r="GO531" s="9"/>
      <c r="GP531" s="9"/>
      <c r="GQ531" s="9"/>
      <c r="GR531" s="9"/>
      <c r="GS531" s="9"/>
      <c r="GT531" s="9"/>
      <c r="GU531" s="9"/>
      <c r="GV531" s="9"/>
      <c r="GW531" s="9"/>
      <c r="GX531" s="9"/>
      <c r="GY531" s="9"/>
      <c r="GZ531" s="9"/>
      <c r="HA531" s="9"/>
      <c r="HB531" s="9"/>
      <c r="HC531" s="9"/>
      <c r="HD531" s="9"/>
      <c r="HE531" s="9"/>
      <c r="HF531" s="9"/>
      <c r="HG531" s="9"/>
      <c r="HH531" s="9"/>
      <c r="HI531" s="9"/>
      <c r="HJ531" s="9"/>
      <c r="HK531" s="9"/>
      <c r="HL531" s="9"/>
      <c r="HM531" s="9"/>
      <c r="HN531" s="9"/>
      <c r="HO531" s="9"/>
      <c r="HP531" s="9"/>
      <c r="HQ531" s="9"/>
      <c r="HR531" s="9"/>
      <c r="HS531" s="9"/>
      <c r="HT531" s="9"/>
      <c r="HU531" s="9"/>
      <c r="HV531" s="9"/>
      <c r="HW531" s="9"/>
      <c r="HX531" s="9"/>
      <c r="HY531" s="9"/>
      <c r="HZ531" s="9"/>
      <c r="IA531" s="9"/>
      <c r="IB531" s="9"/>
      <c r="IC531" s="9"/>
      <c r="ID531" s="9"/>
      <c r="IE531" s="9"/>
      <c r="IF531" s="9"/>
      <c r="IG531" s="9"/>
      <c r="IH531" s="9"/>
      <c r="II531" s="9"/>
      <c r="IJ531" s="9"/>
      <c r="IK531" s="9"/>
      <c r="IL531" s="9"/>
      <c r="IM531" s="9"/>
      <c r="IN531" s="9"/>
      <c r="IO531" s="9"/>
      <c r="IP531" s="9"/>
      <c r="IQ531" s="9"/>
      <c r="IR531" s="9"/>
      <c r="IS531" s="9"/>
      <c r="IT531" s="9"/>
      <c r="IU531" s="9"/>
      <c r="IV531" s="9"/>
    </row>
    <row r="532" spans="1:256" outlineLevel="1">
      <c r="A532" s="16"/>
      <c r="B532" s="44"/>
      <c r="C532" s="20"/>
      <c r="D532" s="20"/>
      <c r="E532" s="20"/>
      <c r="F532" s="21"/>
      <c r="G532" s="21"/>
      <c r="H532" s="21"/>
      <c r="I532" s="21"/>
      <c r="J532" s="21"/>
      <c r="K532" s="21"/>
      <c r="L532" s="21"/>
      <c r="M532" s="21"/>
      <c r="N532" s="21"/>
      <c r="O532" s="21"/>
      <c r="P532" s="21"/>
      <c r="Q532" s="21"/>
      <c r="R532" s="20"/>
      <c r="S532" s="22">
        <f t="shared" si="37"/>
        <v>0</v>
      </c>
      <c r="T532" s="22">
        <f>COUNTIF($V$4:V532,V532)</f>
        <v>261</v>
      </c>
      <c r="U532" s="22" t="str">
        <f>IF(T532=1,COUNTIF($T$4:T532,1),"")</f>
        <v/>
      </c>
      <c r="V532" s="23" t="str">
        <f t="shared" si="38"/>
        <v/>
      </c>
      <c r="W532" s="23">
        <f t="shared" si="36"/>
        <v>0</v>
      </c>
      <c r="X532" s="24"/>
      <c r="Y532" s="23"/>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c r="EB532" s="9"/>
      <c r="EC532" s="9"/>
      <c r="ED532" s="9"/>
      <c r="EE532" s="9"/>
      <c r="EF532" s="9"/>
      <c r="EG532" s="9"/>
      <c r="EH532" s="9"/>
      <c r="EI532" s="9"/>
      <c r="EJ532" s="9"/>
      <c r="EK532" s="9"/>
      <c r="EL532" s="9"/>
      <c r="EM532" s="9"/>
      <c r="EN532" s="9"/>
      <c r="EO532" s="9"/>
      <c r="EP532" s="9"/>
      <c r="EQ532" s="9"/>
      <c r="ER532" s="9"/>
      <c r="ES532" s="9"/>
      <c r="ET532" s="9"/>
      <c r="EU532" s="9"/>
      <c r="EV532" s="9"/>
      <c r="EW532" s="9"/>
      <c r="EX532" s="9"/>
      <c r="EY532" s="9"/>
      <c r="EZ532" s="9"/>
      <c r="FA532" s="9"/>
      <c r="FB532" s="9"/>
      <c r="FC532" s="9"/>
      <c r="FD532" s="9"/>
      <c r="FE532" s="9"/>
      <c r="FF532" s="9"/>
      <c r="FG532" s="9"/>
      <c r="FH532" s="9"/>
      <c r="FI532" s="9"/>
      <c r="FJ532" s="9"/>
      <c r="FK532" s="9"/>
      <c r="FL532" s="9"/>
      <c r="FM532" s="9"/>
      <c r="FN532" s="9"/>
      <c r="FO532" s="9"/>
      <c r="FP532" s="9"/>
      <c r="FQ532" s="9"/>
      <c r="FR532" s="9"/>
      <c r="FS532" s="9"/>
      <c r="FT532" s="9"/>
      <c r="FU532" s="9"/>
      <c r="FV532" s="9"/>
      <c r="FW532" s="9"/>
      <c r="FX532" s="9"/>
      <c r="FY532" s="9"/>
      <c r="FZ532" s="9"/>
      <c r="GA532" s="9"/>
      <c r="GB532" s="9"/>
      <c r="GC532" s="9"/>
      <c r="GD532" s="9"/>
      <c r="GE532" s="9"/>
      <c r="GF532" s="9"/>
      <c r="GG532" s="9"/>
      <c r="GH532" s="9"/>
      <c r="GI532" s="9"/>
      <c r="GJ532" s="9"/>
      <c r="GK532" s="9"/>
      <c r="GL532" s="9"/>
      <c r="GM532" s="9"/>
      <c r="GN532" s="9"/>
      <c r="GO532" s="9"/>
      <c r="GP532" s="9"/>
      <c r="GQ532" s="9"/>
      <c r="GR532" s="9"/>
      <c r="GS532" s="9"/>
      <c r="GT532" s="9"/>
      <c r="GU532" s="9"/>
      <c r="GV532" s="9"/>
      <c r="GW532" s="9"/>
      <c r="GX532" s="9"/>
      <c r="GY532" s="9"/>
      <c r="GZ532" s="9"/>
      <c r="HA532" s="9"/>
      <c r="HB532" s="9"/>
      <c r="HC532" s="9"/>
      <c r="HD532" s="9"/>
      <c r="HE532" s="9"/>
      <c r="HF532" s="9"/>
      <c r="HG532" s="9"/>
      <c r="HH532" s="9"/>
      <c r="HI532" s="9"/>
      <c r="HJ532" s="9"/>
      <c r="HK532" s="9"/>
      <c r="HL532" s="9"/>
      <c r="HM532" s="9"/>
      <c r="HN532" s="9"/>
      <c r="HO532" s="9"/>
      <c r="HP532" s="9"/>
      <c r="HQ532" s="9"/>
      <c r="HR532" s="9"/>
      <c r="HS532" s="9"/>
      <c r="HT532" s="9"/>
      <c r="HU532" s="9"/>
      <c r="HV532" s="9"/>
      <c r="HW532" s="9"/>
      <c r="HX532" s="9"/>
      <c r="HY532" s="9"/>
      <c r="HZ532" s="9"/>
      <c r="IA532" s="9"/>
      <c r="IB532" s="9"/>
      <c r="IC532" s="9"/>
      <c r="ID532" s="9"/>
      <c r="IE532" s="9"/>
      <c r="IF532" s="9"/>
      <c r="IG532" s="9"/>
      <c r="IH532" s="9"/>
      <c r="II532" s="9"/>
      <c r="IJ532" s="9"/>
      <c r="IK532" s="9"/>
      <c r="IL532" s="9"/>
      <c r="IM532" s="9"/>
      <c r="IN532" s="9"/>
      <c r="IO532" s="9"/>
      <c r="IP532" s="9"/>
      <c r="IQ532" s="9"/>
      <c r="IR532" s="9"/>
      <c r="IS532" s="9"/>
      <c r="IT532" s="9"/>
      <c r="IU532" s="9"/>
      <c r="IV532" s="9"/>
    </row>
    <row r="533" spans="1:256" outlineLevel="1">
      <c r="A533" s="16"/>
      <c r="B533" s="44"/>
      <c r="C533" s="20"/>
      <c r="D533" s="20"/>
      <c r="E533" s="20"/>
      <c r="F533" s="21"/>
      <c r="G533" s="21"/>
      <c r="H533" s="21"/>
      <c r="I533" s="21"/>
      <c r="J533" s="21"/>
      <c r="K533" s="21"/>
      <c r="L533" s="21"/>
      <c r="M533" s="21"/>
      <c r="N533" s="21"/>
      <c r="O533" s="21"/>
      <c r="P533" s="21"/>
      <c r="Q533" s="21"/>
      <c r="R533" s="20"/>
      <c r="S533" s="22">
        <f t="shared" si="37"/>
        <v>0</v>
      </c>
      <c r="T533" s="22">
        <f>COUNTIF($V$4:V533,V533)</f>
        <v>262</v>
      </c>
      <c r="U533" s="22" t="str">
        <f>IF(T533=1,COUNTIF($T$4:T533,1),"")</f>
        <v/>
      </c>
      <c r="V533" s="23" t="str">
        <f t="shared" si="38"/>
        <v/>
      </c>
      <c r="W533" s="23">
        <f t="shared" si="36"/>
        <v>0</v>
      </c>
      <c r="X533" s="24"/>
      <c r="Y533" s="23"/>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c r="EB533" s="9"/>
      <c r="EC533" s="9"/>
      <c r="ED533" s="9"/>
      <c r="EE533" s="9"/>
      <c r="EF533" s="9"/>
      <c r="EG533" s="9"/>
      <c r="EH533" s="9"/>
      <c r="EI533" s="9"/>
      <c r="EJ533" s="9"/>
      <c r="EK533" s="9"/>
      <c r="EL533" s="9"/>
      <c r="EM533" s="9"/>
      <c r="EN533" s="9"/>
      <c r="EO533" s="9"/>
      <c r="EP533" s="9"/>
      <c r="EQ533" s="9"/>
      <c r="ER533" s="9"/>
      <c r="ES533" s="9"/>
      <c r="ET533" s="9"/>
      <c r="EU533" s="9"/>
      <c r="EV533" s="9"/>
      <c r="EW533" s="9"/>
      <c r="EX533" s="9"/>
      <c r="EY533" s="9"/>
      <c r="EZ533" s="9"/>
      <c r="FA533" s="9"/>
      <c r="FB533" s="9"/>
      <c r="FC533" s="9"/>
      <c r="FD533" s="9"/>
      <c r="FE533" s="9"/>
      <c r="FF533" s="9"/>
      <c r="FG533" s="9"/>
      <c r="FH533" s="9"/>
      <c r="FI533" s="9"/>
      <c r="FJ533" s="9"/>
      <c r="FK533" s="9"/>
      <c r="FL533" s="9"/>
      <c r="FM533" s="9"/>
      <c r="FN533" s="9"/>
      <c r="FO533" s="9"/>
      <c r="FP533" s="9"/>
      <c r="FQ533" s="9"/>
      <c r="FR533" s="9"/>
      <c r="FS533" s="9"/>
      <c r="FT533" s="9"/>
      <c r="FU533" s="9"/>
      <c r="FV533" s="9"/>
      <c r="FW533" s="9"/>
      <c r="FX533" s="9"/>
      <c r="FY533" s="9"/>
      <c r="FZ533" s="9"/>
      <c r="GA533" s="9"/>
      <c r="GB533" s="9"/>
      <c r="GC533" s="9"/>
      <c r="GD533" s="9"/>
      <c r="GE533" s="9"/>
      <c r="GF533" s="9"/>
      <c r="GG533" s="9"/>
      <c r="GH533" s="9"/>
      <c r="GI533" s="9"/>
      <c r="GJ533" s="9"/>
      <c r="GK533" s="9"/>
      <c r="GL533" s="9"/>
      <c r="GM533" s="9"/>
      <c r="GN533" s="9"/>
      <c r="GO533" s="9"/>
      <c r="GP533" s="9"/>
      <c r="GQ533" s="9"/>
      <c r="GR533" s="9"/>
      <c r="GS533" s="9"/>
      <c r="GT533" s="9"/>
      <c r="GU533" s="9"/>
      <c r="GV533" s="9"/>
      <c r="GW533" s="9"/>
      <c r="GX533" s="9"/>
      <c r="GY533" s="9"/>
      <c r="GZ533" s="9"/>
      <c r="HA533" s="9"/>
      <c r="HB533" s="9"/>
      <c r="HC533" s="9"/>
      <c r="HD533" s="9"/>
      <c r="HE533" s="9"/>
      <c r="HF533" s="9"/>
      <c r="HG533" s="9"/>
      <c r="HH533" s="9"/>
      <c r="HI533" s="9"/>
      <c r="HJ533" s="9"/>
      <c r="HK533" s="9"/>
      <c r="HL533" s="9"/>
      <c r="HM533" s="9"/>
      <c r="HN533" s="9"/>
      <c r="HO533" s="9"/>
      <c r="HP533" s="9"/>
      <c r="HQ533" s="9"/>
      <c r="HR533" s="9"/>
      <c r="HS533" s="9"/>
      <c r="HT533" s="9"/>
      <c r="HU533" s="9"/>
      <c r="HV533" s="9"/>
      <c r="HW533" s="9"/>
      <c r="HX533" s="9"/>
      <c r="HY533" s="9"/>
      <c r="HZ533" s="9"/>
      <c r="IA533" s="9"/>
      <c r="IB533" s="9"/>
      <c r="IC533" s="9"/>
      <c r="ID533" s="9"/>
      <c r="IE533" s="9"/>
      <c r="IF533" s="9"/>
      <c r="IG533" s="9"/>
      <c r="IH533" s="9"/>
      <c r="II533" s="9"/>
      <c r="IJ533" s="9"/>
      <c r="IK533" s="9"/>
      <c r="IL533" s="9"/>
      <c r="IM533" s="9"/>
      <c r="IN533" s="9"/>
      <c r="IO533" s="9"/>
      <c r="IP533" s="9"/>
      <c r="IQ533" s="9"/>
      <c r="IR533" s="9"/>
      <c r="IS533" s="9"/>
      <c r="IT533" s="9"/>
      <c r="IU533" s="9"/>
      <c r="IV533" s="9"/>
    </row>
    <row r="534" spans="1:256" outlineLevel="1">
      <c r="A534" s="16"/>
      <c r="B534" s="44"/>
      <c r="C534" s="20"/>
      <c r="D534" s="20"/>
      <c r="E534" s="20"/>
      <c r="F534" s="21"/>
      <c r="G534" s="21"/>
      <c r="H534" s="21"/>
      <c r="I534" s="21"/>
      <c r="J534" s="21"/>
      <c r="K534" s="21"/>
      <c r="L534" s="21"/>
      <c r="M534" s="21"/>
      <c r="N534" s="21"/>
      <c r="O534" s="21"/>
      <c r="P534" s="21"/>
      <c r="Q534" s="21"/>
      <c r="R534" s="20"/>
      <c r="S534" s="22">
        <f t="shared" si="37"/>
        <v>0</v>
      </c>
      <c r="T534" s="22">
        <f>COUNTIF($V$4:V534,V534)</f>
        <v>263</v>
      </c>
      <c r="U534" s="22" t="str">
        <f>IF(T534=1,COUNTIF($T$4:T534,1),"")</f>
        <v/>
      </c>
      <c r="V534" s="23" t="str">
        <f t="shared" si="38"/>
        <v/>
      </c>
      <c r="W534" s="23">
        <f t="shared" si="36"/>
        <v>0</v>
      </c>
      <c r="X534" s="24"/>
      <c r="Y534" s="23"/>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c r="EB534" s="9"/>
      <c r="EC534" s="9"/>
      <c r="ED534" s="9"/>
      <c r="EE534" s="9"/>
      <c r="EF534" s="9"/>
      <c r="EG534" s="9"/>
      <c r="EH534" s="9"/>
      <c r="EI534" s="9"/>
      <c r="EJ534" s="9"/>
      <c r="EK534" s="9"/>
      <c r="EL534" s="9"/>
      <c r="EM534" s="9"/>
      <c r="EN534" s="9"/>
      <c r="EO534" s="9"/>
      <c r="EP534" s="9"/>
      <c r="EQ534" s="9"/>
      <c r="ER534" s="9"/>
      <c r="ES534" s="9"/>
      <c r="ET534" s="9"/>
      <c r="EU534" s="9"/>
      <c r="EV534" s="9"/>
      <c r="EW534" s="9"/>
      <c r="EX534" s="9"/>
      <c r="EY534" s="9"/>
      <c r="EZ534" s="9"/>
      <c r="FA534" s="9"/>
      <c r="FB534" s="9"/>
      <c r="FC534" s="9"/>
      <c r="FD534" s="9"/>
      <c r="FE534" s="9"/>
      <c r="FF534" s="9"/>
      <c r="FG534" s="9"/>
      <c r="FH534" s="9"/>
      <c r="FI534" s="9"/>
      <c r="FJ534" s="9"/>
      <c r="FK534" s="9"/>
      <c r="FL534" s="9"/>
      <c r="FM534" s="9"/>
      <c r="FN534" s="9"/>
      <c r="FO534" s="9"/>
      <c r="FP534" s="9"/>
      <c r="FQ534" s="9"/>
      <c r="FR534" s="9"/>
      <c r="FS534" s="9"/>
      <c r="FT534" s="9"/>
      <c r="FU534" s="9"/>
      <c r="FV534" s="9"/>
      <c r="FW534" s="9"/>
      <c r="FX534" s="9"/>
      <c r="FY534" s="9"/>
      <c r="FZ534" s="9"/>
      <c r="GA534" s="9"/>
      <c r="GB534" s="9"/>
      <c r="GC534" s="9"/>
      <c r="GD534" s="9"/>
      <c r="GE534" s="9"/>
      <c r="GF534" s="9"/>
      <c r="GG534" s="9"/>
      <c r="GH534" s="9"/>
      <c r="GI534" s="9"/>
      <c r="GJ534" s="9"/>
      <c r="GK534" s="9"/>
      <c r="GL534" s="9"/>
      <c r="GM534" s="9"/>
      <c r="GN534" s="9"/>
      <c r="GO534" s="9"/>
      <c r="GP534" s="9"/>
      <c r="GQ534" s="9"/>
      <c r="GR534" s="9"/>
      <c r="GS534" s="9"/>
      <c r="GT534" s="9"/>
      <c r="GU534" s="9"/>
      <c r="GV534" s="9"/>
      <c r="GW534" s="9"/>
      <c r="GX534" s="9"/>
      <c r="GY534" s="9"/>
      <c r="GZ534" s="9"/>
      <c r="HA534" s="9"/>
      <c r="HB534" s="9"/>
      <c r="HC534" s="9"/>
      <c r="HD534" s="9"/>
      <c r="HE534" s="9"/>
      <c r="HF534" s="9"/>
      <c r="HG534" s="9"/>
      <c r="HH534" s="9"/>
      <c r="HI534" s="9"/>
      <c r="HJ534" s="9"/>
      <c r="HK534" s="9"/>
      <c r="HL534" s="9"/>
      <c r="HM534" s="9"/>
      <c r="HN534" s="9"/>
      <c r="HO534" s="9"/>
      <c r="HP534" s="9"/>
      <c r="HQ534" s="9"/>
      <c r="HR534" s="9"/>
      <c r="HS534" s="9"/>
      <c r="HT534" s="9"/>
      <c r="HU534" s="9"/>
      <c r="HV534" s="9"/>
      <c r="HW534" s="9"/>
      <c r="HX534" s="9"/>
      <c r="HY534" s="9"/>
      <c r="HZ534" s="9"/>
      <c r="IA534" s="9"/>
      <c r="IB534" s="9"/>
      <c r="IC534" s="9"/>
      <c r="ID534" s="9"/>
      <c r="IE534" s="9"/>
      <c r="IF534" s="9"/>
      <c r="IG534" s="9"/>
      <c r="IH534" s="9"/>
      <c r="II534" s="9"/>
      <c r="IJ534" s="9"/>
      <c r="IK534" s="9"/>
      <c r="IL534" s="9"/>
      <c r="IM534" s="9"/>
      <c r="IN534" s="9"/>
      <c r="IO534" s="9"/>
      <c r="IP534" s="9"/>
      <c r="IQ534" s="9"/>
      <c r="IR534" s="9"/>
      <c r="IS534" s="9"/>
      <c r="IT534" s="9"/>
      <c r="IU534" s="9"/>
      <c r="IV534" s="9"/>
    </row>
    <row r="535" spans="1:256" outlineLevel="1">
      <c r="A535" s="16"/>
      <c r="B535" s="44"/>
      <c r="C535" s="20"/>
      <c r="D535" s="20"/>
      <c r="E535" s="20"/>
      <c r="F535" s="21"/>
      <c r="G535" s="21"/>
      <c r="H535" s="21"/>
      <c r="I535" s="21"/>
      <c r="J535" s="21"/>
      <c r="K535" s="21"/>
      <c r="L535" s="21"/>
      <c r="M535" s="21"/>
      <c r="N535" s="21"/>
      <c r="O535" s="21"/>
      <c r="P535" s="21"/>
      <c r="Q535" s="21"/>
      <c r="R535" s="20"/>
      <c r="S535" s="22">
        <f t="shared" si="37"/>
        <v>0</v>
      </c>
      <c r="T535" s="22">
        <f>COUNTIF($V$4:V535,V535)</f>
        <v>264</v>
      </c>
      <c r="U535" s="22" t="str">
        <f>IF(T535=1,COUNTIF($T$4:T535,1),"")</f>
        <v/>
      </c>
      <c r="V535" s="23" t="str">
        <f t="shared" si="38"/>
        <v/>
      </c>
      <c r="W535" s="23">
        <f t="shared" si="36"/>
        <v>0</v>
      </c>
      <c r="X535" s="24"/>
      <c r="Y535" s="23"/>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c r="EV535" s="9"/>
      <c r="EW535" s="9"/>
      <c r="EX535" s="9"/>
      <c r="EY535" s="9"/>
      <c r="EZ535" s="9"/>
      <c r="FA535" s="9"/>
      <c r="FB535" s="9"/>
      <c r="FC535" s="9"/>
      <c r="FD535" s="9"/>
      <c r="FE535" s="9"/>
      <c r="FF535" s="9"/>
      <c r="FG535" s="9"/>
      <c r="FH535" s="9"/>
      <c r="FI535" s="9"/>
      <c r="FJ535" s="9"/>
      <c r="FK535" s="9"/>
      <c r="FL535" s="9"/>
      <c r="FM535" s="9"/>
      <c r="FN535" s="9"/>
      <c r="FO535" s="9"/>
      <c r="FP535" s="9"/>
      <c r="FQ535" s="9"/>
      <c r="FR535" s="9"/>
      <c r="FS535" s="9"/>
      <c r="FT535" s="9"/>
      <c r="FU535" s="9"/>
      <c r="FV535" s="9"/>
      <c r="FW535" s="9"/>
      <c r="FX535" s="9"/>
      <c r="FY535" s="9"/>
      <c r="FZ535" s="9"/>
      <c r="GA535" s="9"/>
      <c r="GB535" s="9"/>
      <c r="GC535" s="9"/>
      <c r="GD535" s="9"/>
      <c r="GE535" s="9"/>
      <c r="GF535" s="9"/>
      <c r="GG535" s="9"/>
      <c r="GH535" s="9"/>
      <c r="GI535" s="9"/>
      <c r="GJ535" s="9"/>
      <c r="GK535" s="9"/>
      <c r="GL535" s="9"/>
      <c r="GM535" s="9"/>
      <c r="GN535" s="9"/>
      <c r="GO535" s="9"/>
      <c r="GP535" s="9"/>
      <c r="GQ535" s="9"/>
      <c r="GR535" s="9"/>
      <c r="GS535" s="9"/>
      <c r="GT535" s="9"/>
      <c r="GU535" s="9"/>
      <c r="GV535" s="9"/>
      <c r="GW535" s="9"/>
      <c r="GX535" s="9"/>
      <c r="GY535" s="9"/>
      <c r="GZ535" s="9"/>
      <c r="HA535" s="9"/>
      <c r="HB535" s="9"/>
      <c r="HC535" s="9"/>
      <c r="HD535" s="9"/>
      <c r="HE535" s="9"/>
      <c r="HF535" s="9"/>
      <c r="HG535" s="9"/>
      <c r="HH535" s="9"/>
      <c r="HI535" s="9"/>
      <c r="HJ535" s="9"/>
      <c r="HK535" s="9"/>
      <c r="HL535" s="9"/>
      <c r="HM535" s="9"/>
      <c r="HN535" s="9"/>
      <c r="HO535" s="9"/>
      <c r="HP535" s="9"/>
      <c r="HQ535" s="9"/>
      <c r="HR535" s="9"/>
      <c r="HS535" s="9"/>
      <c r="HT535" s="9"/>
      <c r="HU535" s="9"/>
      <c r="HV535" s="9"/>
      <c r="HW535" s="9"/>
      <c r="HX535" s="9"/>
      <c r="HY535" s="9"/>
      <c r="HZ535" s="9"/>
      <c r="IA535" s="9"/>
      <c r="IB535" s="9"/>
      <c r="IC535" s="9"/>
      <c r="ID535" s="9"/>
      <c r="IE535" s="9"/>
      <c r="IF535" s="9"/>
      <c r="IG535" s="9"/>
      <c r="IH535" s="9"/>
      <c r="II535" s="9"/>
      <c r="IJ535" s="9"/>
      <c r="IK535" s="9"/>
      <c r="IL535" s="9"/>
      <c r="IM535" s="9"/>
      <c r="IN535" s="9"/>
      <c r="IO535" s="9"/>
      <c r="IP535" s="9"/>
      <c r="IQ535" s="9"/>
      <c r="IR535" s="9"/>
      <c r="IS535" s="9"/>
      <c r="IT535" s="9"/>
      <c r="IU535" s="9"/>
      <c r="IV535" s="9"/>
    </row>
    <row r="536" spans="1:256" outlineLevel="1">
      <c r="A536" s="16"/>
      <c r="B536" s="44"/>
      <c r="C536" s="20"/>
      <c r="D536" s="20"/>
      <c r="E536" s="20"/>
      <c r="F536" s="21"/>
      <c r="G536" s="21"/>
      <c r="H536" s="21"/>
      <c r="I536" s="21"/>
      <c r="J536" s="21"/>
      <c r="K536" s="21"/>
      <c r="L536" s="21"/>
      <c r="M536" s="21"/>
      <c r="N536" s="21"/>
      <c r="O536" s="21"/>
      <c r="P536" s="21"/>
      <c r="Q536" s="21"/>
      <c r="R536" s="20"/>
      <c r="S536" s="22">
        <f t="shared" si="37"/>
        <v>0</v>
      </c>
      <c r="T536" s="22">
        <f>COUNTIF($V$4:V536,V536)</f>
        <v>265</v>
      </c>
      <c r="U536" s="22" t="str">
        <f>IF(T536=1,COUNTIF($T$4:T536,1),"")</f>
        <v/>
      </c>
      <c r="V536" s="23" t="str">
        <f t="shared" si="38"/>
        <v/>
      </c>
      <c r="W536" s="23">
        <f t="shared" si="36"/>
        <v>0</v>
      </c>
      <c r="X536" s="24"/>
      <c r="Y536" s="23"/>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c r="EV536" s="9"/>
      <c r="EW536" s="9"/>
      <c r="EX536" s="9"/>
      <c r="EY536" s="9"/>
      <c r="EZ536" s="9"/>
      <c r="FA536" s="9"/>
      <c r="FB536" s="9"/>
      <c r="FC536" s="9"/>
      <c r="FD536" s="9"/>
      <c r="FE536" s="9"/>
      <c r="FF536" s="9"/>
      <c r="FG536" s="9"/>
      <c r="FH536" s="9"/>
      <c r="FI536" s="9"/>
      <c r="FJ536" s="9"/>
      <c r="FK536" s="9"/>
      <c r="FL536" s="9"/>
      <c r="FM536" s="9"/>
      <c r="FN536" s="9"/>
      <c r="FO536" s="9"/>
      <c r="FP536" s="9"/>
      <c r="FQ536" s="9"/>
      <c r="FR536" s="9"/>
      <c r="FS536" s="9"/>
      <c r="FT536" s="9"/>
      <c r="FU536" s="9"/>
      <c r="FV536" s="9"/>
      <c r="FW536" s="9"/>
      <c r="FX536" s="9"/>
      <c r="FY536" s="9"/>
      <c r="FZ536" s="9"/>
      <c r="GA536" s="9"/>
      <c r="GB536" s="9"/>
      <c r="GC536" s="9"/>
      <c r="GD536" s="9"/>
      <c r="GE536" s="9"/>
      <c r="GF536" s="9"/>
      <c r="GG536" s="9"/>
      <c r="GH536" s="9"/>
      <c r="GI536" s="9"/>
      <c r="GJ536" s="9"/>
      <c r="GK536" s="9"/>
      <c r="GL536" s="9"/>
      <c r="GM536" s="9"/>
      <c r="GN536" s="9"/>
      <c r="GO536" s="9"/>
      <c r="GP536" s="9"/>
      <c r="GQ536" s="9"/>
      <c r="GR536" s="9"/>
      <c r="GS536" s="9"/>
      <c r="GT536" s="9"/>
      <c r="GU536" s="9"/>
      <c r="GV536" s="9"/>
      <c r="GW536" s="9"/>
      <c r="GX536" s="9"/>
      <c r="GY536" s="9"/>
      <c r="GZ536" s="9"/>
      <c r="HA536" s="9"/>
      <c r="HB536" s="9"/>
      <c r="HC536" s="9"/>
      <c r="HD536" s="9"/>
      <c r="HE536" s="9"/>
      <c r="HF536" s="9"/>
      <c r="HG536" s="9"/>
      <c r="HH536" s="9"/>
      <c r="HI536" s="9"/>
      <c r="HJ536" s="9"/>
      <c r="HK536" s="9"/>
      <c r="HL536" s="9"/>
      <c r="HM536" s="9"/>
      <c r="HN536" s="9"/>
      <c r="HO536" s="9"/>
      <c r="HP536" s="9"/>
      <c r="HQ536" s="9"/>
      <c r="HR536" s="9"/>
      <c r="HS536" s="9"/>
      <c r="HT536" s="9"/>
      <c r="HU536" s="9"/>
      <c r="HV536" s="9"/>
      <c r="HW536" s="9"/>
      <c r="HX536" s="9"/>
      <c r="HY536" s="9"/>
      <c r="HZ536" s="9"/>
      <c r="IA536" s="9"/>
      <c r="IB536" s="9"/>
      <c r="IC536" s="9"/>
      <c r="ID536" s="9"/>
      <c r="IE536" s="9"/>
      <c r="IF536" s="9"/>
      <c r="IG536" s="9"/>
      <c r="IH536" s="9"/>
      <c r="II536" s="9"/>
      <c r="IJ536" s="9"/>
      <c r="IK536" s="9"/>
      <c r="IL536" s="9"/>
      <c r="IM536" s="9"/>
      <c r="IN536" s="9"/>
      <c r="IO536" s="9"/>
      <c r="IP536" s="9"/>
      <c r="IQ536" s="9"/>
      <c r="IR536" s="9"/>
      <c r="IS536" s="9"/>
      <c r="IT536" s="9"/>
      <c r="IU536" s="9"/>
      <c r="IV536" s="9"/>
    </row>
    <row r="537" spans="1:256" outlineLevel="1">
      <c r="A537" s="16"/>
      <c r="B537" s="44"/>
      <c r="C537" s="20"/>
      <c r="D537" s="20"/>
      <c r="E537" s="20"/>
      <c r="F537" s="21"/>
      <c r="G537" s="21"/>
      <c r="H537" s="21"/>
      <c r="I537" s="21"/>
      <c r="J537" s="21"/>
      <c r="K537" s="21"/>
      <c r="L537" s="21"/>
      <c r="M537" s="21"/>
      <c r="N537" s="21"/>
      <c r="O537" s="21"/>
      <c r="P537" s="21"/>
      <c r="Q537" s="21"/>
      <c r="R537" s="20"/>
      <c r="S537" s="22">
        <f t="shared" si="37"/>
        <v>0</v>
      </c>
      <c r="T537" s="22">
        <f>COUNTIF($V$4:V537,V537)</f>
        <v>266</v>
      </c>
      <c r="U537" s="22" t="str">
        <f>IF(T537=1,COUNTIF($T$4:T537,1),"")</f>
        <v/>
      </c>
      <c r="V537" s="23" t="str">
        <f t="shared" si="38"/>
        <v/>
      </c>
      <c r="W537" s="23">
        <f t="shared" si="36"/>
        <v>0</v>
      </c>
      <c r="X537" s="24"/>
      <c r="Y537" s="23"/>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c r="EV537" s="9"/>
      <c r="EW537" s="9"/>
      <c r="EX537" s="9"/>
      <c r="EY537" s="9"/>
      <c r="EZ537" s="9"/>
      <c r="FA537" s="9"/>
      <c r="FB537" s="9"/>
      <c r="FC537" s="9"/>
      <c r="FD537" s="9"/>
      <c r="FE537" s="9"/>
      <c r="FF537" s="9"/>
      <c r="FG537" s="9"/>
      <c r="FH537" s="9"/>
      <c r="FI537" s="9"/>
      <c r="FJ537" s="9"/>
      <c r="FK537" s="9"/>
      <c r="FL537" s="9"/>
      <c r="FM537" s="9"/>
      <c r="FN537" s="9"/>
      <c r="FO537" s="9"/>
      <c r="FP537" s="9"/>
      <c r="FQ537" s="9"/>
      <c r="FR537" s="9"/>
      <c r="FS537" s="9"/>
      <c r="FT537" s="9"/>
      <c r="FU537" s="9"/>
      <c r="FV537" s="9"/>
      <c r="FW537" s="9"/>
      <c r="FX537" s="9"/>
      <c r="FY537" s="9"/>
      <c r="FZ537" s="9"/>
      <c r="GA537" s="9"/>
      <c r="GB537" s="9"/>
      <c r="GC537" s="9"/>
      <c r="GD537" s="9"/>
      <c r="GE537" s="9"/>
      <c r="GF537" s="9"/>
      <c r="GG537" s="9"/>
      <c r="GH537" s="9"/>
      <c r="GI537" s="9"/>
      <c r="GJ537" s="9"/>
      <c r="GK537" s="9"/>
      <c r="GL537" s="9"/>
      <c r="GM537" s="9"/>
      <c r="GN537" s="9"/>
      <c r="GO537" s="9"/>
      <c r="GP537" s="9"/>
      <c r="GQ537" s="9"/>
      <c r="GR537" s="9"/>
      <c r="GS537" s="9"/>
      <c r="GT537" s="9"/>
      <c r="GU537" s="9"/>
      <c r="GV537" s="9"/>
      <c r="GW537" s="9"/>
      <c r="GX537" s="9"/>
      <c r="GY537" s="9"/>
      <c r="GZ537" s="9"/>
      <c r="HA537" s="9"/>
      <c r="HB537" s="9"/>
      <c r="HC537" s="9"/>
      <c r="HD537" s="9"/>
      <c r="HE537" s="9"/>
      <c r="HF537" s="9"/>
      <c r="HG537" s="9"/>
      <c r="HH537" s="9"/>
      <c r="HI537" s="9"/>
      <c r="HJ537" s="9"/>
      <c r="HK537" s="9"/>
      <c r="HL537" s="9"/>
      <c r="HM537" s="9"/>
      <c r="HN537" s="9"/>
      <c r="HO537" s="9"/>
      <c r="HP537" s="9"/>
      <c r="HQ537" s="9"/>
      <c r="HR537" s="9"/>
      <c r="HS537" s="9"/>
      <c r="HT537" s="9"/>
      <c r="HU537" s="9"/>
      <c r="HV537" s="9"/>
      <c r="HW537" s="9"/>
      <c r="HX537" s="9"/>
      <c r="HY537" s="9"/>
      <c r="HZ537" s="9"/>
      <c r="IA537" s="9"/>
      <c r="IB537" s="9"/>
      <c r="IC537" s="9"/>
      <c r="ID537" s="9"/>
      <c r="IE537" s="9"/>
      <c r="IF537" s="9"/>
      <c r="IG537" s="9"/>
      <c r="IH537" s="9"/>
      <c r="II537" s="9"/>
      <c r="IJ537" s="9"/>
      <c r="IK537" s="9"/>
      <c r="IL537" s="9"/>
      <c r="IM537" s="9"/>
      <c r="IN537" s="9"/>
      <c r="IO537" s="9"/>
      <c r="IP537" s="9"/>
      <c r="IQ537" s="9"/>
      <c r="IR537" s="9"/>
      <c r="IS537" s="9"/>
      <c r="IT537" s="9"/>
      <c r="IU537" s="9"/>
      <c r="IV537" s="9"/>
    </row>
    <row r="538" spans="1:256" outlineLevel="1">
      <c r="A538" s="16"/>
      <c r="B538" s="44"/>
      <c r="C538" s="20"/>
      <c r="D538" s="20"/>
      <c r="E538" s="20"/>
      <c r="F538" s="21"/>
      <c r="G538" s="21"/>
      <c r="H538" s="21"/>
      <c r="I538" s="21"/>
      <c r="J538" s="21"/>
      <c r="K538" s="21"/>
      <c r="L538" s="21"/>
      <c r="M538" s="21"/>
      <c r="N538" s="21"/>
      <c r="O538" s="21"/>
      <c r="P538" s="21"/>
      <c r="Q538" s="21"/>
      <c r="R538" s="20"/>
      <c r="S538" s="22">
        <f t="shared" si="37"/>
        <v>0</v>
      </c>
      <c r="T538" s="22">
        <f>COUNTIF($V$4:V538,V538)</f>
        <v>267</v>
      </c>
      <c r="U538" s="22" t="str">
        <f>IF(T538=1,COUNTIF($T$4:T538,1),"")</f>
        <v/>
      </c>
      <c r="V538" s="23" t="str">
        <f t="shared" si="38"/>
        <v/>
      </c>
      <c r="W538" s="23">
        <f t="shared" si="36"/>
        <v>0</v>
      </c>
      <c r="X538" s="24"/>
      <c r="Y538" s="23"/>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9"/>
      <c r="HQ538" s="9"/>
      <c r="HR538" s="9"/>
      <c r="HS538" s="9"/>
      <c r="HT538" s="9"/>
      <c r="HU538" s="9"/>
      <c r="HV538" s="9"/>
      <c r="HW538" s="9"/>
      <c r="HX538" s="9"/>
      <c r="HY538" s="9"/>
      <c r="HZ538" s="9"/>
      <c r="IA538" s="9"/>
      <c r="IB538" s="9"/>
      <c r="IC538" s="9"/>
      <c r="ID538" s="9"/>
      <c r="IE538" s="9"/>
      <c r="IF538" s="9"/>
      <c r="IG538" s="9"/>
      <c r="IH538" s="9"/>
      <c r="II538" s="9"/>
      <c r="IJ538" s="9"/>
      <c r="IK538" s="9"/>
      <c r="IL538" s="9"/>
      <c r="IM538" s="9"/>
      <c r="IN538" s="9"/>
      <c r="IO538" s="9"/>
      <c r="IP538" s="9"/>
      <c r="IQ538" s="9"/>
      <c r="IR538" s="9"/>
      <c r="IS538" s="9"/>
      <c r="IT538" s="9"/>
      <c r="IU538" s="9"/>
      <c r="IV538" s="9"/>
    </row>
    <row r="539" spans="1:256" outlineLevel="1">
      <c r="A539" s="16"/>
      <c r="B539" s="44"/>
      <c r="C539" s="20"/>
      <c r="D539" s="20"/>
      <c r="E539" s="20"/>
      <c r="F539" s="21"/>
      <c r="G539" s="21"/>
      <c r="H539" s="21"/>
      <c r="I539" s="21"/>
      <c r="J539" s="21"/>
      <c r="K539" s="21"/>
      <c r="L539" s="21"/>
      <c r="M539" s="21"/>
      <c r="N539" s="21"/>
      <c r="O539" s="21"/>
      <c r="P539" s="21"/>
      <c r="Q539" s="21"/>
      <c r="R539" s="20"/>
      <c r="S539" s="22">
        <f t="shared" si="37"/>
        <v>0</v>
      </c>
      <c r="T539" s="22">
        <f>COUNTIF($V$4:V539,V539)</f>
        <v>268</v>
      </c>
      <c r="U539" s="22" t="str">
        <f>IF(T539=1,COUNTIF($T$4:T539,1),"")</f>
        <v/>
      </c>
      <c r="V539" s="23" t="str">
        <f t="shared" si="38"/>
        <v/>
      </c>
      <c r="W539" s="23">
        <f t="shared" si="36"/>
        <v>0</v>
      </c>
      <c r="X539" s="24"/>
      <c r="Y539" s="23"/>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c r="EB539" s="9"/>
      <c r="EC539" s="9"/>
      <c r="ED539" s="9"/>
      <c r="EE539" s="9"/>
      <c r="EF539" s="9"/>
      <c r="EG539" s="9"/>
      <c r="EH539" s="9"/>
      <c r="EI539" s="9"/>
      <c r="EJ539" s="9"/>
      <c r="EK539" s="9"/>
      <c r="EL539" s="9"/>
      <c r="EM539" s="9"/>
      <c r="EN539" s="9"/>
      <c r="EO539" s="9"/>
      <c r="EP539" s="9"/>
      <c r="EQ539" s="9"/>
      <c r="ER539" s="9"/>
      <c r="ES539" s="9"/>
      <c r="ET539" s="9"/>
      <c r="EU539" s="9"/>
      <c r="EV539" s="9"/>
      <c r="EW539" s="9"/>
      <c r="EX539" s="9"/>
      <c r="EY539" s="9"/>
      <c r="EZ539" s="9"/>
      <c r="FA539" s="9"/>
      <c r="FB539" s="9"/>
      <c r="FC539" s="9"/>
      <c r="FD539" s="9"/>
      <c r="FE539" s="9"/>
      <c r="FF539" s="9"/>
      <c r="FG539" s="9"/>
      <c r="FH539" s="9"/>
      <c r="FI539" s="9"/>
      <c r="FJ539" s="9"/>
      <c r="FK539" s="9"/>
      <c r="FL539" s="9"/>
      <c r="FM539" s="9"/>
      <c r="FN539" s="9"/>
      <c r="FO539" s="9"/>
      <c r="FP539" s="9"/>
      <c r="FQ539" s="9"/>
      <c r="FR539" s="9"/>
      <c r="FS539" s="9"/>
      <c r="FT539" s="9"/>
      <c r="FU539" s="9"/>
      <c r="FV539" s="9"/>
      <c r="FW539" s="9"/>
      <c r="FX539" s="9"/>
      <c r="FY539" s="9"/>
      <c r="FZ539" s="9"/>
      <c r="GA539" s="9"/>
      <c r="GB539" s="9"/>
      <c r="GC539" s="9"/>
      <c r="GD539" s="9"/>
      <c r="GE539" s="9"/>
      <c r="GF539" s="9"/>
      <c r="GG539" s="9"/>
      <c r="GH539" s="9"/>
      <c r="GI539" s="9"/>
      <c r="GJ539" s="9"/>
      <c r="GK539" s="9"/>
      <c r="GL539" s="9"/>
      <c r="GM539" s="9"/>
      <c r="GN539" s="9"/>
      <c r="GO539" s="9"/>
      <c r="GP539" s="9"/>
      <c r="GQ539" s="9"/>
      <c r="GR539" s="9"/>
      <c r="GS539" s="9"/>
      <c r="GT539" s="9"/>
      <c r="GU539" s="9"/>
      <c r="GV539" s="9"/>
      <c r="GW539" s="9"/>
      <c r="GX539" s="9"/>
      <c r="GY539" s="9"/>
      <c r="GZ539" s="9"/>
      <c r="HA539" s="9"/>
      <c r="HB539" s="9"/>
      <c r="HC539" s="9"/>
      <c r="HD539" s="9"/>
      <c r="HE539" s="9"/>
      <c r="HF539" s="9"/>
      <c r="HG539" s="9"/>
      <c r="HH539" s="9"/>
      <c r="HI539" s="9"/>
      <c r="HJ539" s="9"/>
      <c r="HK539" s="9"/>
      <c r="HL539" s="9"/>
      <c r="HM539" s="9"/>
      <c r="HN539" s="9"/>
      <c r="HO539" s="9"/>
      <c r="HP539" s="9"/>
      <c r="HQ539" s="9"/>
      <c r="HR539" s="9"/>
      <c r="HS539" s="9"/>
      <c r="HT539" s="9"/>
      <c r="HU539" s="9"/>
      <c r="HV539" s="9"/>
      <c r="HW539" s="9"/>
      <c r="HX539" s="9"/>
      <c r="HY539" s="9"/>
      <c r="HZ539" s="9"/>
      <c r="IA539" s="9"/>
      <c r="IB539" s="9"/>
      <c r="IC539" s="9"/>
      <c r="ID539" s="9"/>
      <c r="IE539" s="9"/>
      <c r="IF539" s="9"/>
      <c r="IG539" s="9"/>
      <c r="IH539" s="9"/>
      <c r="II539" s="9"/>
      <c r="IJ539" s="9"/>
      <c r="IK539" s="9"/>
      <c r="IL539" s="9"/>
      <c r="IM539" s="9"/>
      <c r="IN539" s="9"/>
      <c r="IO539" s="9"/>
      <c r="IP539" s="9"/>
      <c r="IQ539" s="9"/>
      <c r="IR539" s="9"/>
      <c r="IS539" s="9"/>
      <c r="IT539" s="9"/>
      <c r="IU539" s="9"/>
      <c r="IV539" s="9"/>
    </row>
    <row r="540" spans="1:256" outlineLevel="1">
      <c r="A540" s="16"/>
      <c r="B540" s="44"/>
      <c r="C540" s="20"/>
      <c r="D540" s="20"/>
      <c r="E540" s="20"/>
      <c r="F540" s="21"/>
      <c r="G540" s="21"/>
      <c r="H540" s="21"/>
      <c r="I540" s="21"/>
      <c r="J540" s="21"/>
      <c r="K540" s="21"/>
      <c r="L540" s="21"/>
      <c r="M540" s="21"/>
      <c r="N540" s="21"/>
      <c r="O540" s="21"/>
      <c r="P540" s="21"/>
      <c r="Q540" s="21"/>
      <c r="R540" s="20"/>
      <c r="S540" s="22">
        <f t="shared" si="37"/>
        <v>0</v>
      </c>
      <c r="T540" s="22">
        <f>COUNTIF($V$4:V540,V540)</f>
        <v>269</v>
      </c>
      <c r="U540" s="22" t="str">
        <f>IF(T540=1,COUNTIF($T$4:T540,1),"")</f>
        <v/>
      </c>
      <c r="V540" s="23" t="str">
        <f t="shared" si="38"/>
        <v/>
      </c>
      <c r="W540" s="23">
        <f t="shared" si="36"/>
        <v>0</v>
      </c>
      <c r="X540" s="24"/>
      <c r="Y540" s="23"/>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c r="EB540" s="9"/>
      <c r="EC540" s="9"/>
      <c r="ED540" s="9"/>
      <c r="EE540" s="9"/>
      <c r="EF540" s="9"/>
      <c r="EG540" s="9"/>
      <c r="EH540" s="9"/>
      <c r="EI540" s="9"/>
      <c r="EJ540" s="9"/>
      <c r="EK540" s="9"/>
      <c r="EL540" s="9"/>
      <c r="EM540" s="9"/>
      <c r="EN540" s="9"/>
      <c r="EO540" s="9"/>
      <c r="EP540" s="9"/>
      <c r="EQ540" s="9"/>
      <c r="ER540" s="9"/>
      <c r="ES540" s="9"/>
      <c r="ET540" s="9"/>
      <c r="EU540" s="9"/>
      <c r="EV540" s="9"/>
      <c r="EW540" s="9"/>
      <c r="EX540" s="9"/>
      <c r="EY540" s="9"/>
      <c r="EZ540" s="9"/>
      <c r="FA540" s="9"/>
      <c r="FB540" s="9"/>
      <c r="FC540" s="9"/>
      <c r="FD540" s="9"/>
      <c r="FE540" s="9"/>
      <c r="FF540" s="9"/>
      <c r="FG540" s="9"/>
      <c r="FH540" s="9"/>
      <c r="FI540" s="9"/>
      <c r="FJ540" s="9"/>
      <c r="FK540" s="9"/>
      <c r="FL540" s="9"/>
      <c r="FM540" s="9"/>
      <c r="FN540" s="9"/>
      <c r="FO540" s="9"/>
      <c r="FP540" s="9"/>
      <c r="FQ540" s="9"/>
      <c r="FR540" s="9"/>
      <c r="FS540" s="9"/>
      <c r="FT540" s="9"/>
      <c r="FU540" s="9"/>
      <c r="FV540" s="9"/>
      <c r="FW540" s="9"/>
      <c r="FX540" s="9"/>
      <c r="FY540" s="9"/>
      <c r="FZ540" s="9"/>
      <c r="GA540" s="9"/>
      <c r="GB540" s="9"/>
      <c r="GC540" s="9"/>
      <c r="GD540" s="9"/>
      <c r="GE540" s="9"/>
      <c r="GF540" s="9"/>
      <c r="GG540" s="9"/>
      <c r="GH540" s="9"/>
      <c r="GI540" s="9"/>
      <c r="GJ540" s="9"/>
      <c r="GK540" s="9"/>
      <c r="GL540" s="9"/>
      <c r="GM540" s="9"/>
      <c r="GN540" s="9"/>
      <c r="GO540" s="9"/>
      <c r="GP540" s="9"/>
      <c r="GQ540" s="9"/>
      <c r="GR540" s="9"/>
      <c r="GS540" s="9"/>
      <c r="GT540" s="9"/>
      <c r="GU540" s="9"/>
      <c r="GV540" s="9"/>
      <c r="GW540" s="9"/>
      <c r="GX540" s="9"/>
      <c r="GY540" s="9"/>
      <c r="GZ540" s="9"/>
      <c r="HA540" s="9"/>
      <c r="HB540" s="9"/>
      <c r="HC540" s="9"/>
      <c r="HD540" s="9"/>
      <c r="HE540" s="9"/>
      <c r="HF540" s="9"/>
      <c r="HG540" s="9"/>
      <c r="HH540" s="9"/>
      <c r="HI540" s="9"/>
      <c r="HJ540" s="9"/>
      <c r="HK540" s="9"/>
      <c r="HL540" s="9"/>
      <c r="HM540" s="9"/>
      <c r="HN540" s="9"/>
      <c r="HO540" s="9"/>
      <c r="HP540" s="9"/>
      <c r="HQ540" s="9"/>
      <c r="HR540" s="9"/>
      <c r="HS540" s="9"/>
      <c r="HT540" s="9"/>
      <c r="HU540" s="9"/>
      <c r="HV540" s="9"/>
      <c r="HW540" s="9"/>
      <c r="HX540" s="9"/>
      <c r="HY540" s="9"/>
      <c r="HZ540" s="9"/>
      <c r="IA540" s="9"/>
      <c r="IB540" s="9"/>
      <c r="IC540" s="9"/>
      <c r="ID540" s="9"/>
      <c r="IE540" s="9"/>
      <c r="IF540" s="9"/>
      <c r="IG540" s="9"/>
      <c r="IH540" s="9"/>
      <c r="II540" s="9"/>
      <c r="IJ540" s="9"/>
      <c r="IK540" s="9"/>
      <c r="IL540" s="9"/>
      <c r="IM540" s="9"/>
      <c r="IN540" s="9"/>
      <c r="IO540" s="9"/>
      <c r="IP540" s="9"/>
      <c r="IQ540" s="9"/>
      <c r="IR540" s="9"/>
      <c r="IS540" s="9"/>
      <c r="IT540" s="9"/>
      <c r="IU540" s="9"/>
      <c r="IV540" s="9"/>
    </row>
    <row r="541" spans="1:256" outlineLevel="1">
      <c r="A541" s="16"/>
      <c r="B541" s="44"/>
      <c r="C541" s="20"/>
      <c r="D541" s="20"/>
      <c r="E541" s="20"/>
      <c r="F541" s="21"/>
      <c r="G541" s="21"/>
      <c r="H541" s="21"/>
      <c r="I541" s="21"/>
      <c r="J541" s="21"/>
      <c r="K541" s="21"/>
      <c r="L541" s="21"/>
      <c r="M541" s="21"/>
      <c r="N541" s="21"/>
      <c r="O541" s="21"/>
      <c r="P541" s="21"/>
      <c r="Q541" s="21"/>
      <c r="R541" s="20"/>
      <c r="S541" s="22">
        <f t="shared" si="37"/>
        <v>0</v>
      </c>
      <c r="T541" s="22">
        <f>COUNTIF($V$4:V541,V541)</f>
        <v>270</v>
      </c>
      <c r="U541" s="22" t="str">
        <f>IF(T541=1,COUNTIF($T$4:T541,1),"")</f>
        <v/>
      </c>
      <c r="V541" s="23" t="str">
        <f t="shared" si="38"/>
        <v/>
      </c>
      <c r="W541" s="23">
        <f t="shared" si="36"/>
        <v>0</v>
      </c>
      <c r="X541" s="24"/>
      <c r="Y541" s="23"/>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c r="EB541" s="9"/>
      <c r="EC541" s="9"/>
      <c r="ED541" s="9"/>
      <c r="EE541" s="9"/>
      <c r="EF541" s="9"/>
      <c r="EG541" s="9"/>
      <c r="EH541" s="9"/>
      <c r="EI541" s="9"/>
      <c r="EJ541" s="9"/>
      <c r="EK541" s="9"/>
      <c r="EL541" s="9"/>
      <c r="EM541" s="9"/>
      <c r="EN541" s="9"/>
      <c r="EO541" s="9"/>
      <c r="EP541" s="9"/>
      <c r="EQ541" s="9"/>
      <c r="ER541" s="9"/>
      <c r="ES541" s="9"/>
      <c r="ET541" s="9"/>
      <c r="EU541" s="9"/>
      <c r="EV541" s="9"/>
      <c r="EW541" s="9"/>
      <c r="EX541" s="9"/>
      <c r="EY541" s="9"/>
      <c r="EZ541" s="9"/>
      <c r="FA541" s="9"/>
      <c r="FB541" s="9"/>
      <c r="FC541" s="9"/>
      <c r="FD541" s="9"/>
      <c r="FE541" s="9"/>
      <c r="FF541" s="9"/>
      <c r="FG541" s="9"/>
      <c r="FH541" s="9"/>
      <c r="FI541" s="9"/>
      <c r="FJ541" s="9"/>
      <c r="FK541" s="9"/>
      <c r="FL541" s="9"/>
      <c r="FM541" s="9"/>
      <c r="FN541" s="9"/>
      <c r="FO541" s="9"/>
      <c r="FP541" s="9"/>
      <c r="FQ541" s="9"/>
      <c r="FR541" s="9"/>
      <c r="FS541" s="9"/>
      <c r="FT541" s="9"/>
      <c r="FU541" s="9"/>
      <c r="FV541" s="9"/>
      <c r="FW541" s="9"/>
      <c r="FX541" s="9"/>
      <c r="FY541" s="9"/>
      <c r="FZ541" s="9"/>
      <c r="GA541" s="9"/>
      <c r="GB541" s="9"/>
      <c r="GC541" s="9"/>
      <c r="GD541" s="9"/>
      <c r="GE541" s="9"/>
      <c r="GF541" s="9"/>
      <c r="GG541" s="9"/>
      <c r="GH541" s="9"/>
      <c r="GI541" s="9"/>
      <c r="GJ541" s="9"/>
      <c r="GK541" s="9"/>
      <c r="GL541" s="9"/>
      <c r="GM541" s="9"/>
      <c r="GN541" s="9"/>
      <c r="GO541" s="9"/>
      <c r="GP541" s="9"/>
      <c r="GQ541" s="9"/>
      <c r="GR541" s="9"/>
      <c r="GS541" s="9"/>
      <c r="GT541" s="9"/>
      <c r="GU541" s="9"/>
      <c r="GV541" s="9"/>
      <c r="GW541" s="9"/>
      <c r="GX541" s="9"/>
      <c r="GY541" s="9"/>
      <c r="GZ541" s="9"/>
      <c r="HA541" s="9"/>
      <c r="HB541" s="9"/>
      <c r="HC541" s="9"/>
      <c r="HD541" s="9"/>
      <c r="HE541" s="9"/>
      <c r="HF541" s="9"/>
      <c r="HG541" s="9"/>
      <c r="HH541" s="9"/>
      <c r="HI541" s="9"/>
      <c r="HJ541" s="9"/>
      <c r="HK541" s="9"/>
      <c r="HL541" s="9"/>
      <c r="HM541" s="9"/>
      <c r="HN541" s="9"/>
      <c r="HO541" s="9"/>
      <c r="HP541" s="9"/>
      <c r="HQ541" s="9"/>
      <c r="HR541" s="9"/>
      <c r="HS541" s="9"/>
      <c r="HT541" s="9"/>
      <c r="HU541" s="9"/>
      <c r="HV541" s="9"/>
      <c r="HW541" s="9"/>
      <c r="HX541" s="9"/>
      <c r="HY541" s="9"/>
      <c r="HZ541" s="9"/>
      <c r="IA541" s="9"/>
      <c r="IB541" s="9"/>
      <c r="IC541" s="9"/>
      <c r="ID541" s="9"/>
      <c r="IE541" s="9"/>
      <c r="IF541" s="9"/>
      <c r="IG541" s="9"/>
      <c r="IH541" s="9"/>
      <c r="II541" s="9"/>
      <c r="IJ541" s="9"/>
      <c r="IK541" s="9"/>
      <c r="IL541" s="9"/>
      <c r="IM541" s="9"/>
      <c r="IN541" s="9"/>
      <c r="IO541" s="9"/>
      <c r="IP541" s="9"/>
      <c r="IQ541" s="9"/>
      <c r="IR541" s="9"/>
      <c r="IS541" s="9"/>
      <c r="IT541" s="9"/>
      <c r="IU541" s="9"/>
      <c r="IV541" s="9"/>
    </row>
    <row r="542" spans="1:256" outlineLevel="1">
      <c r="A542" s="16"/>
      <c r="B542" s="44"/>
      <c r="C542" s="20"/>
      <c r="D542" s="20"/>
      <c r="E542" s="20"/>
      <c r="F542" s="21"/>
      <c r="G542" s="21"/>
      <c r="H542" s="21"/>
      <c r="I542" s="21"/>
      <c r="J542" s="21"/>
      <c r="K542" s="21"/>
      <c r="L542" s="21"/>
      <c r="M542" s="21"/>
      <c r="N542" s="21"/>
      <c r="O542" s="21"/>
      <c r="P542" s="21"/>
      <c r="Q542" s="21"/>
      <c r="R542" s="20"/>
      <c r="S542" s="22">
        <f t="shared" si="37"/>
        <v>0</v>
      </c>
      <c r="T542" s="22">
        <f>COUNTIF($V$4:V542,V542)</f>
        <v>271</v>
      </c>
      <c r="U542" s="22" t="str">
        <f>IF(T542=1,COUNTIF($T$4:T542,1),"")</f>
        <v/>
      </c>
      <c r="V542" s="23" t="str">
        <f t="shared" si="38"/>
        <v/>
      </c>
      <c r="W542" s="23">
        <f t="shared" si="36"/>
        <v>0</v>
      </c>
      <c r="X542" s="24"/>
      <c r="Y542" s="23"/>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c r="EB542" s="9"/>
      <c r="EC542" s="9"/>
      <c r="ED542" s="9"/>
      <c r="EE542" s="9"/>
      <c r="EF542" s="9"/>
      <c r="EG542" s="9"/>
      <c r="EH542" s="9"/>
      <c r="EI542" s="9"/>
      <c r="EJ542" s="9"/>
      <c r="EK542" s="9"/>
      <c r="EL542" s="9"/>
      <c r="EM542" s="9"/>
      <c r="EN542" s="9"/>
      <c r="EO542" s="9"/>
      <c r="EP542" s="9"/>
      <c r="EQ542" s="9"/>
      <c r="ER542" s="9"/>
      <c r="ES542" s="9"/>
      <c r="ET542" s="9"/>
      <c r="EU542" s="9"/>
      <c r="EV542" s="9"/>
      <c r="EW542" s="9"/>
      <c r="EX542" s="9"/>
      <c r="EY542" s="9"/>
      <c r="EZ542" s="9"/>
      <c r="FA542" s="9"/>
      <c r="FB542" s="9"/>
      <c r="FC542" s="9"/>
      <c r="FD542" s="9"/>
      <c r="FE542" s="9"/>
      <c r="FF542" s="9"/>
      <c r="FG542" s="9"/>
      <c r="FH542" s="9"/>
      <c r="FI542" s="9"/>
      <c r="FJ542" s="9"/>
      <c r="FK542" s="9"/>
      <c r="FL542" s="9"/>
      <c r="FM542" s="9"/>
      <c r="FN542" s="9"/>
      <c r="FO542" s="9"/>
      <c r="FP542" s="9"/>
      <c r="FQ542" s="9"/>
      <c r="FR542" s="9"/>
      <c r="FS542" s="9"/>
      <c r="FT542" s="9"/>
      <c r="FU542" s="9"/>
      <c r="FV542" s="9"/>
      <c r="FW542" s="9"/>
      <c r="FX542" s="9"/>
      <c r="FY542" s="9"/>
      <c r="FZ542" s="9"/>
      <c r="GA542" s="9"/>
      <c r="GB542" s="9"/>
      <c r="GC542" s="9"/>
      <c r="GD542" s="9"/>
      <c r="GE542" s="9"/>
      <c r="GF542" s="9"/>
      <c r="GG542" s="9"/>
      <c r="GH542" s="9"/>
      <c r="GI542" s="9"/>
      <c r="GJ542" s="9"/>
      <c r="GK542" s="9"/>
      <c r="GL542" s="9"/>
      <c r="GM542" s="9"/>
      <c r="GN542" s="9"/>
      <c r="GO542" s="9"/>
      <c r="GP542" s="9"/>
      <c r="GQ542" s="9"/>
      <c r="GR542" s="9"/>
      <c r="GS542" s="9"/>
      <c r="GT542" s="9"/>
      <c r="GU542" s="9"/>
      <c r="GV542" s="9"/>
      <c r="GW542" s="9"/>
      <c r="GX542" s="9"/>
      <c r="GY542" s="9"/>
      <c r="GZ542" s="9"/>
      <c r="HA542" s="9"/>
      <c r="HB542" s="9"/>
      <c r="HC542" s="9"/>
      <c r="HD542" s="9"/>
      <c r="HE542" s="9"/>
      <c r="HF542" s="9"/>
      <c r="HG542" s="9"/>
      <c r="HH542" s="9"/>
      <c r="HI542" s="9"/>
      <c r="HJ542" s="9"/>
      <c r="HK542" s="9"/>
      <c r="HL542" s="9"/>
      <c r="HM542" s="9"/>
      <c r="HN542" s="9"/>
      <c r="HO542" s="9"/>
      <c r="HP542" s="9"/>
      <c r="HQ542" s="9"/>
      <c r="HR542" s="9"/>
      <c r="HS542" s="9"/>
      <c r="HT542" s="9"/>
      <c r="HU542" s="9"/>
      <c r="HV542" s="9"/>
      <c r="HW542" s="9"/>
      <c r="HX542" s="9"/>
      <c r="HY542" s="9"/>
      <c r="HZ542" s="9"/>
      <c r="IA542" s="9"/>
      <c r="IB542" s="9"/>
      <c r="IC542" s="9"/>
      <c r="ID542" s="9"/>
      <c r="IE542" s="9"/>
      <c r="IF542" s="9"/>
      <c r="IG542" s="9"/>
      <c r="IH542" s="9"/>
      <c r="II542" s="9"/>
      <c r="IJ542" s="9"/>
      <c r="IK542" s="9"/>
      <c r="IL542" s="9"/>
      <c r="IM542" s="9"/>
      <c r="IN542" s="9"/>
      <c r="IO542" s="9"/>
      <c r="IP542" s="9"/>
      <c r="IQ542" s="9"/>
      <c r="IR542" s="9"/>
      <c r="IS542" s="9"/>
      <c r="IT542" s="9"/>
      <c r="IU542" s="9"/>
      <c r="IV542" s="9"/>
    </row>
    <row r="543" spans="1:256" outlineLevel="1">
      <c r="A543" s="16"/>
      <c r="B543" s="44"/>
      <c r="C543" s="20"/>
      <c r="D543" s="20"/>
      <c r="E543" s="20"/>
      <c r="F543" s="21"/>
      <c r="G543" s="21"/>
      <c r="H543" s="21"/>
      <c r="I543" s="21"/>
      <c r="J543" s="21"/>
      <c r="K543" s="21"/>
      <c r="L543" s="21"/>
      <c r="M543" s="21"/>
      <c r="N543" s="21"/>
      <c r="O543" s="21"/>
      <c r="P543" s="21"/>
      <c r="Q543" s="21"/>
      <c r="R543" s="20"/>
      <c r="S543" s="22">
        <f t="shared" si="37"/>
        <v>0</v>
      </c>
      <c r="T543" s="22">
        <f>COUNTIF($V$4:V543,V543)</f>
        <v>272</v>
      </c>
      <c r="U543" s="22" t="str">
        <f>IF(T543=1,COUNTIF($T$4:T543,1),"")</f>
        <v/>
      </c>
      <c r="V543" s="23" t="str">
        <f t="shared" si="38"/>
        <v/>
      </c>
      <c r="W543" s="23">
        <f t="shared" si="36"/>
        <v>0</v>
      </c>
      <c r="X543" s="24"/>
      <c r="Y543" s="23"/>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c r="EB543" s="9"/>
      <c r="EC543" s="9"/>
      <c r="ED543" s="9"/>
      <c r="EE543" s="9"/>
      <c r="EF543" s="9"/>
      <c r="EG543" s="9"/>
      <c r="EH543" s="9"/>
      <c r="EI543" s="9"/>
      <c r="EJ543" s="9"/>
      <c r="EK543" s="9"/>
      <c r="EL543" s="9"/>
      <c r="EM543" s="9"/>
      <c r="EN543" s="9"/>
      <c r="EO543" s="9"/>
      <c r="EP543" s="9"/>
      <c r="EQ543" s="9"/>
      <c r="ER543" s="9"/>
      <c r="ES543" s="9"/>
      <c r="ET543" s="9"/>
      <c r="EU543" s="9"/>
      <c r="EV543" s="9"/>
      <c r="EW543" s="9"/>
      <c r="EX543" s="9"/>
      <c r="EY543" s="9"/>
      <c r="EZ543" s="9"/>
      <c r="FA543" s="9"/>
      <c r="FB543" s="9"/>
      <c r="FC543" s="9"/>
      <c r="FD543" s="9"/>
      <c r="FE543" s="9"/>
      <c r="FF543" s="9"/>
      <c r="FG543" s="9"/>
      <c r="FH543" s="9"/>
      <c r="FI543" s="9"/>
      <c r="FJ543" s="9"/>
      <c r="FK543" s="9"/>
      <c r="FL543" s="9"/>
      <c r="FM543" s="9"/>
      <c r="FN543" s="9"/>
      <c r="FO543" s="9"/>
      <c r="FP543" s="9"/>
      <c r="FQ543" s="9"/>
      <c r="FR543" s="9"/>
      <c r="FS543" s="9"/>
      <c r="FT543" s="9"/>
      <c r="FU543" s="9"/>
      <c r="FV543" s="9"/>
      <c r="FW543" s="9"/>
      <c r="FX543" s="9"/>
      <c r="FY543" s="9"/>
      <c r="FZ543" s="9"/>
      <c r="GA543" s="9"/>
      <c r="GB543" s="9"/>
      <c r="GC543" s="9"/>
      <c r="GD543" s="9"/>
      <c r="GE543" s="9"/>
      <c r="GF543" s="9"/>
      <c r="GG543" s="9"/>
      <c r="GH543" s="9"/>
      <c r="GI543" s="9"/>
      <c r="GJ543" s="9"/>
      <c r="GK543" s="9"/>
      <c r="GL543" s="9"/>
      <c r="GM543" s="9"/>
      <c r="GN543" s="9"/>
      <c r="GO543" s="9"/>
      <c r="GP543" s="9"/>
      <c r="GQ543" s="9"/>
      <c r="GR543" s="9"/>
      <c r="GS543" s="9"/>
      <c r="GT543" s="9"/>
      <c r="GU543" s="9"/>
      <c r="GV543" s="9"/>
      <c r="GW543" s="9"/>
      <c r="GX543" s="9"/>
      <c r="GY543" s="9"/>
      <c r="GZ543" s="9"/>
      <c r="HA543" s="9"/>
      <c r="HB543" s="9"/>
      <c r="HC543" s="9"/>
      <c r="HD543" s="9"/>
      <c r="HE543" s="9"/>
      <c r="HF543" s="9"/>
      <c r="HG543" s="9"/>
      <c r="HH543" s="9"/>
      <c r="HI543" s="9"/>
      <c r="HJ543" s="9"/>
      <c r="HK543" s="9"/>
      <c r="HL543" s="9"/>
      <c r="HM543" s="9"/>
      <c r="HN543" s="9"/>
      <c r="HO543" s="9"/>
      <c r="HP543" s="9"/>
      <c r="HQ543" s="9"/>
      <c r="HR543" s="9"/>
      <c r="HS543" s="9"/>
      <c r="HT543" s="9"/>
      <c r="HU543" s="9"/>
      <c r="HV543" s="9"/>
      <c r="HW543" s="9"/>
      <c r="HX543" s="9"/>
      <c r="HY543" s="9"/>
      <c r="HZ543" s="9"/>
      <c r="IA543" s="9"/>
      <c r="IB543" s="9"/>
      <c r="IC543" s="9"/>
      <c r="ID543" s="9"/>
      <c r="IE543" s="9"/>
      <c r="IF543" s="9"/>
      <c r="IG543" s="9"/>
      <c r="IH543" s="9"/>
      <c r="II543" s="9"/>
      <c r="IJ543" s="9"/>
      <c r="IK543" s="9"/>
      <c r="IL543" s="9"/>
      <c r="IM543" s="9"/>
      <c r="IN543" s="9"/>
      <c r="IO543" s="9"/>
      <c r="IP543" s="9"/>
      <c r="IQ543" s="9"/>
      <c r="IR543" s="9"/>
      <c r="IS543" s="9"/>
      <c r="IT543" s="9"/>
      <c r="IU543" s="9"/>
      <c r="IV543" s="9"/>
    </row>
    <row r="544" spans="1:256" outlineLevel="1">
      <c r="A544" s="16"/>
      <c r="B544" s="44"/>
      <c r="C544" s="20"/>
      <c r="D544" s="20"/>
      <c r="E544" s="20"/>
      <c r="F544" s="21"/>
      <c r="G544" s="21"/>
      <c r="H544" s="21"/>
      <c r="I544" s="21"/>
      <c r="J544" s="21"/>
      <c r="K544" s="21"/>
      <c r="L544" s="21"/>
      <c r="M544" s="21"/>
      <c r="N544" s="21"/>
      <c r="O544" s="21"/>
      <c r="P544" s="21"/>
      <c r="Q544" s="21"/>
      <c r="R544" s="20"/>
      <c r="S544" s="22">
        <f t="shared" si="37"/>
        <v>0</v>
      </c>
      <c r="T544" s="22">
        <f>COUNTIF($V$4:V544,V544)</f>
        <v>273</v>
      </c>
      <c r="U544" s="22" t="str">
        <f>IF(T544=1,COUNTIF($T$4:T544,1),"")</f>
        <v/>
      </c>
      <c r="V544" s="23" t="str">
        <f t="shared" si="38"/>
        <v/>
      </c>
      <c r="W544" s="23">
        <f t="shared" si="36"/>
        <v>0</v>
      </c>
      <c r="X544" s="24"/>
      <c r="Y544" s="23"/>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c r="EB544" s="9"/>
      <c r="EC544" s="9"/>
      <c r="ED544" s="9"/>
      <c r="EE544" s="9"/>
      <c r="EF544" s="9"/>
      <c r="EG544" s="9"/>
      <c r="EH544" s="9"/>
      <c r="EI544" s="9"/>
      <c r="EJ544" s="9"/>
      <c r="EK544" s="9"/>
      <c r="EL544" s="9"/>
      <c r="EM544" s="9"/>
      <c r="EN544" s="9"/>
      <c r="EO544" s="9"/>
      <c r="EP544" s="9"/>
      <c r="EQ544" s="9"/>
      <c r="ER544" s="9"/>
      <c r="ES544" s="9"/>
      <c r="ET544" s="9"/>
      <c r="EU544" s="9"/>
      <c r="EV544" s="9"/>
      <c r="EW544" s="9"/>
      <c r="EX544" s="9"/>
      <c r="EY544" s="9"/>
      <c r="EZ544" s="9"/>
      <c r="FA544" s="9"/>
      <c r="FB544" s="9"/>
      <c r="FC544" s="9"/>
      <c r="FD544" s="9"/>
      <c r="FE544" s="9"/>
      <c r="FF544" s="9"/>
      <c r="FG544" s="9"/>
      <c r="FH544" s="9"/>
      <c r="FI544" s="9"/>
      <c r="FJ544" s="9"/>
      <c r="FK544" s="9"/>
      <c r="FL544" s="9"/>
      <c r="FM544" s="9"/>
      <c r="FN544" s="9"/>
      <c r="FO544" s="9"/>
      <c r="FP544" s="9"/>
      <c r="FQ544" s="9"/>
      <c r="FR544" s="9"/>
      <c r="FS544" s="9"/>
      <c r="FT544" s="9"/>
      <c r="FU544" s="9"/>
      <c r="FV544" s="9"/>
      <c r="FW544" s="9"/>
      <c r="FX544" s="9"/>
      <c r="FY544" s="9"/>
      <c r="FZ544" s="9"/>
      <c r="GA544" s="9"/>
      <c r="GB544" s="9"/>
      <c r="GC544" s="9"/>
      <c r="GD544" s="9"/>
      <c r="GE544" s="9"/>
      <c r="GF544" s="9"/>
      <c r="GG544" s="9"/>
      <c r="GH544" s="9"/>
      <c r="GI544" s="9"/>
      <c r="GJ544" s="9"/>
      <c r="GK544" s="9"/>
      <c r="GL544" s="9"/>
      <c r="GM544" s="9"/>
      <c r="GN544" s="9"/>
      <c r="GO544" s="9"/>
      <c r="GP544" s="9"/>
      <c r="GQ544" s="9"/>
      <c r="GR544" s="9"/>
      <c r="GS544" s="9"/>
      <c r="GT544" s="9"/>
      <c r="GU544" s="9"/>
      <c r="GV544" s="9"/>
      <c r="GW544" s="9"/>
      <c r="GX544" s="9"/>
      <c r="GY544" s="9"/>
      <c r="GZ544" s="9"/>
      <c r="HA544" s="9"/>
      <c r="HB544" s="9"/>
      <c r="HC544" s="9"/>
      <c r="HD544" s="9"/>
      <c r="HE544" s="9"/>
      <c r="HF544" s="9"/>
      <c r="HG544" s="9"/>
      <c r="HH544" s="9"/>
      <c r="HI544" s="9"/>
      <c r="HJ544" s="9"/>
      <c r="HK544" s="9"/>
      <c r="HL544" s="9"/>
      <c r="HM544" s="9"/>
      <c r="HN544" s="9"/>
      <c r="HO544" s="9"/>
      <c r="HP544" s="9"/>
      <c r="HQ544" s="9"/>
      <c r="HR544" s="9"/>
      <c r="HS544" s="9"/>
      <c r="HT544" s="9"/>
      <c r="HU544" s="9"/>
      <c r="HV544" s="9"/>
      <c r="HW544" s="9"/>
      <c r="HX544" s="9"/>
      <c r="HY544" s="9"/>
      <c r="HZ544" s="9"/>
      <c r="IA544" s="9"/>
      <c r="IB544" s="9"/>
      <c r="IC544" s="9"/>
      <c r="ID544" s="9"/>
      <c r="IE544" s="9"/>
      <c r="IF544" s="9"/>
      <c r="IG544" s="9"/>
      <c r="IH544" s="9"/>
      <c r="II544" s="9"/>
      <c r="IJ544" s="9"/>
      <c r="IK544" s="9"/>
      <c r="IL544" s="9"/>
      <c r="IM544" s="9"/>
      <c r="IN544" s="9"/>
      <c r="IO544" s="9"/>
      <c r="IP544" s="9"/>
      <c r="IQ544" s="9"/>
      <c r="IR544" s="9"/>
      <c r="IS544" s="9"/>
      <c r="IT544" s="9"/>
      <c r="IU544" s="9"/>
      <c r="IV544" s="9"/>
    </row>
    <row r="545" spans="1:256" outlineLevel="1">
      <c r="A545" s="16"/>
      <c r="B545" s="44"/>
      <c r="C545" s="20"/>
      <c r="D545" s="20"/>
      <c r="E545" s="20"/>
      <c r="F545" s="21"/>
      <c r="G545" s="21"/>
      <c r="H545" s="21"/>
      <c r="I545" s="21"/>
      <c r="J545" s="21"/>
      <c r="K545" s="21"/>
      <c r="L545" s="21"/>
      <c r="M545" s="21"/>
      <c r="N545" s="21"/>
      <c r="O545" s="21"/>
      <c r="P545" s="21"/>
      <c r="Q545" s="21"/>
      <c r="R545" s="20"/>
      <c r="S545" s="22">
        <f t="shared" si="37"/>
        <v>0</v>
      </c>
      <c r="T545" s="22">
        <f>COUNTIF($V$4:V545,V545)</f>
        <v>274</v>
      </c>
      <c r="U545" s="22" t="str">
        <f>IF(T545=1,COUNTIF($T$4:T545,1),"")</f>
        <v/>
      </c>
      <c r="V545" s="23" t="str">
        <f t="shared" si="38"/>
        <v/>
      </c>
      <c r="W545" s="23">
        <f t="shared" si="36"/>
        <v>0</v>
      </c>
      <c r="X545" s="24"/>
      <c r="Y545" s="23"/>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c r="EB545" s="9"/>
      <c r="EC545" s="9"/>
      <c r="ED545" s="9"/>
      <c r="EE545" s="9"/>
      <c r="EF545" s="9"/>
      <c r="EG545" s="9"/>
      <c r="EH545" s="9"/>
      <c r="EI545" s="9"/>
      <c r="EJ545" s="9"/>
      <c r="EK545" s="9"/>
      <c r="EL545" s="9"/>
      <c r="EM545" s="9"/>
      <c r="EN545" s="9"/>
      <c r="EO545" s="9"/>
      <c r="EP545" s="9"/>
      <c r="EQ545" s="9"/>
      <c r="ER545" s="9"/>
      <c r="ES545" s="9"/>
      <c r="ET545" s="9"/>
      <c r="EU545" s="9"/>
      <c r="EV545" s="9"/>
      <c r="EW545" s="9"/>
      <c r="EX545" s="9"/>
      <c r="EY545" s="9"/>
      <c r="EZ545" s="9"/>
      <c r="FA545" s="9"/>
      <c r="FB545" s="9"/>
      <c r="FC545" s="9"/>
      <c r="FD545" s="9"/>
      <c r="FE545" s="9"/>
      <c r="FF545" s="9"/>
      <c r="FG545" s="9"/>
      <c r="FH545" s="9"/>
      <c r="FI545" s="9"/>
      <c r="FJ545" s="9"/>
      <c r="FK545" s="9"/>
      <c r="FL545" s="9"/>
      <c r="FM545" s="9"/>
      <c r="FN545" s="9"/>
      <c r="FO545" s="9"/>
      <c r="FP545" s="9"/>
      <c r="FQ545" s="9"/>
      <c r="FR545" s="9"/>
      <c r="FS545" s="9"/>
      <c r="FT545" s="9"/>
      <c r="FU545" s="9"/>
      <c r="FV545" s="9"/>
      <c r="FW545" s="9"/>
      <c r="FX545" s="9"/>
      <c r="FY545" s="9"/>
      <c r="FZ545" s="9"/>
      <c r="GA545" s="9"/>
      <c r="GB545" s="9"/>
      <c r="GC545" s="9"/>
      <c r="GD545" s="9"/>
      <c r="GE545" s="9"/>
      <c r="GF545" s="9"/>
      <c r="GG545" s="9"/>
      <c r="GH545" s="9"/>
      <c r="GI545" s="9"/>
      <c r="GJ545" s="9"/>
      <c r="GK545" s="9"/>
      <c r="GL545" s="9"/>
      <c r="GM545" s="9"/>
      <c r="GN545" s="9"/>
      <c r="GO545" s="9"/>
      <c r="GP545" s="9"/>
      <c r="GQ545" s="9"/>
      <c r="GR545" s="9"/>
      <c r="GS545" s="9"/>
      <c r="GT545" s="9"/>
      <c r="GU545" s="9"/>
      <c r="GV545" s="9"/>
      <c r="GW545" s="9"/>
      <c r="GX545" s="9"/>
      <c r="GY545" s="9"/>
      <c r="GZ545" s="9"/>
      <c r="HA545" s="9"/>
      <c r="HB545" s="9"/>
      <c r="HC545" s="9"/>
      <c r="HD545" s="9"/>
      <c r="HE545" s="9"/>
      <c r="HF545" s="9"/>
      <c r="HG545" s="9"/>
      <c r="HH545" s="9"/>
      <c r="HI545" s="9"/>
      <c r="HJ545" s="9"/>
      <c r="HK545" s="9"/>
      <c r="HL545" s="9"/>
      <c r="HM545" s="9"/>
      <c r="HN545" s="9"/>
      <c r="HO545" s="9"/>
      <c r="HP545" s="9"/>
      <c r="HQ545" s="9"/>
      <c r="HR545" s="9"/>
      <c r="HS545" s="9"/>
      <c r="HT545" s="9"/>
      <c r="HU545" s="9"/>
      <c r="HV545" s="9"/>
      <c r="HW545" s="9"/>
      <c r="HX545" s="9"/>
      <c r="HY545" s="9"/>
      <c r="HZ545" s="9"/>
      <c r="IA545" s="9"/>
      <c r="IB545" s="9"/>
      <c r="IC545" s="9"/>
      <c r="ID545" s="9"/>
      <c r="IE545" s="9"/>
      <c r="IF545" s="9"/>
      <c r="IG545" s="9"/>
      <c r="IH545" s="9"/>
      <c r="II545" s="9"/>
      <c r="IJ545" s="9"/>
      <c r="IK545" s="9"/>
      <c r="IL545" s="9"/>
      <c r="IM545" s="9"/>
      <c r="IN545" s="9"/>
      <c r="IO545" s="9"/>
      <c r="IP545" s="9"/>
      <c r="IQ545" s="9"/>
      <c r="IR545" s="9"/>
      <c r="IS545" s="9"/>
      <c r="IT545" s="9"/>
      <c r="IU545" s="9"/>
      <c r="IV545" s="9"/>
    </row>
    <row r="546" spans="1:256" outlineLevel="1">
      <c r="A546" s="16"/>
      <c r="B546" s="44"/>
      <c r="C546" s="20"/>
      <c r="D546" s="20"/>
      <c r="E546" s="20"/>
      <c r="F546" s="21"/>
      <c r="G546" s="21"/>
      <c r="H546" s="21"/>
      <c r="I546" s="21"/>
      <c r="J546" s="21"/>
      <c r="K546" s="21"/>
      <c r="L546" s="21"/>
      <c r="M546" s="21"/>
      <c r="N546" s="21"/>
      <c r="O546" s="21"/>
      <c r="P546" s="21"/>
      <c r="Q546" s="21"/>
      <c r="R546" s="20"/>
      <c r="S546" s="22">
        <f t="shared" si="37"/>
        <v>0</v>
      </c>
      <c r="T546" s="22">
        <f>COUNTIF($V$4:V546,V546)</f>
        <v>275</v>
      </c>
      <c r="U546" s="22" t="str">
        <f>IF(T546=1,COUNTIF($T$4:T546,1),"")</f>
        <v/>
      </c>
      <c r="V546" s="23" t="str">
        <f t="shared" si="38"/>
        <v/>
      </c>
      <c r="W546" s="23">
        <f t="shared" si="36"/>
        <v>0</v>
      </c>
      <c r="X546" s="24"/>
      <c r="Y546" s="23"/>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c r="EV546" s="9"/>
      <c r="EW546" s="9"/>
      <c r="EX546" s="9"/>
      <c r="EY546" s="9"/>
      <c r="EZ546" s="9"/>
      <c r="FA546" s="9"/>
      <c r="FB546" s="9"/>
      <c r="FC546" s="9"/>
      <c r="FD546" s="9"/>
      <c r="FE546" s="9"/>
      <c r="FF546" s="9"/>
      <c r="FG546" s="9"/>
      <c r="FH546" s="9"/>
      <c r="FI546" s="9"/>
      <c r="FJ546" s="9"/>
      <c r="FK546" s="9"/>
      <c r="FL546" s="9"/>
      <c r="FM546" s="9"/>
      <c r="FN546" s="9"/>
      <c r="FO546" s="9"/>
      <c r="FP546" s="9"/>
      <c r="FQ546" s="9"/>
      <c r="FR546" s="9"/>
      <c r="FS546" s="9"/>
      <c r="FT546" s="9"/>
      <c r="FU546" s="9"/>
      <c r="FV546" s="9"/>
      <c r="FW546" s="9"/>
      <c r="FX546" s="9"/>
      <c r="FY546" s="9"/>
      <c r="FZ546" s="9"/>
      <c r="GA546" s="9"/>
      <c r="GB546" s="9"/>
      <c r="GC546" s="9"/>
      <c r="GD546" s="9"/>
      <c r="GE546" s="9"/>
      <c r="GF546" s="9"/>
      <c r="GG546" s="9"/>
      <c r="GH546" s="9"/>
      <c r="GI546" s="9"/>
      <c r="GJ546" s="9"/>
      <c r="GK546" s="9"/>
      <c r="GL546" s="9"/>
      <c r="GM546" s="9"/>
      <c r="GN546" s="9"/>
      <c r="GO546" s="9"/>
      <c r="GP546" s="9"/>
      <c r="GQ546" s="9"/>
      <c r="GR546" s="9"/>
      <c r="GS546" s="9"/>
      <c r="GT546" s="9"/>
      <c r="GU546" s="9"/>
      <c r="GV546" s="9"/>
      <c r="GW546" s="9"/>
      <c r="GX546" s="9"/>
      <c r="GY546" s="9"/>
      <c r="GZ546" s="9"/>
      <c r="HA546" s="9"/>
      <c r="HB546" s="9"/>
      <c r="HC546" s="9"/>
      <c r="HD546" s="9"/>
      <c r="HE546" s="9"/>
      <c r="HF546" s="9"/>
      <c r="HG546" s="9"/>
      <c r="HH546" s="9"/>
      <c r="HI546" s="9"/>
      <c r="HJ546" s="9"/>
      <c r="HK546" s="9"/>
      <c r="HL546" s="9"/>
      <c r="HM546" s="9"/>
      <c r="HN546" s="9"/>
      <c r="HO546" s="9"/>
      <c r="HP546" s="9"/>
      <c r="HQ546" s="9"/>
      <c r="HR546" s="9"/>
      <c r="HS546" s="9"/>
      <c r="HT546" s="9"/>
      <c r="HU546" s="9"/>
      <c r="HV546" s="9"/>
      <c r="HW546" s="9"/>
      <c r="HX546" s="9"/>
      <c r="HY546" s="9"/>
      <c r="HZ546" s="9"/>
      <c r="IA546" s="9"/>
      <c r="IB546" s="9"/>
      <c r="IC546" s="9"/>
      <c r="ID546" s="9"/>
      <c r="IE546" s="9"/>
      <c r="IF546" s="9"/>
      <c r="IG546" s="9"/>
      <c r="IH546" s="9"/>
      <c r="II546" s="9"/>
      <c r="IJ546" s="9"/>
      <c r="IK546" s="9"/>
      <c r="IL546" s="9"/>
      <c r="IM546" s="9"/>
      <c r="IN546" s="9"/>
      <c r="IO546" s="9"/>
      <c r="IP546" s="9"/>
      <c r="IQ546" s="9"/>
      <c r="IR546" s="9"/>
      <c r="IS546" s="9"/>
      <c r="IT546" s="9"/>
      <c r="IU546" s="9"/>
      <c r="IV546" s="9"/>
    </row>
    <row r="547" spans="1:256" outlineLevel="1">
      <c r="A547" s="16"/>
      <c r="B547" s="44"/>
      <c r="C547" s="20"/>
      <c r="D547" s="20"/>
      <c r="E547" s="20"/>
      <c r="F547" s="21"/>
      <c r="G547" s="21"/>
      <c r="H547" s="21"/>
      <c r="I547" s="21"/>
      <c r="J547" s="21"/>
      <c r="K547" s="21"/>
      <c r="L547" s="21"/>
      <c r="M547" s="21"/>
      <c r="N547" s="21"/>
      <c r="O547" s="21"/>
      <c r="P547" s="21"/>
      <c r="Q547" s="21"/>
      <c r="R547" s="20"/>
      <c r="S547" s="22">
        <f t="shared" si="37"/>
        <v>0</v>
      </c>
      <c r="T547" s="22">
        <f>COUNTIF($V$4:V547,V547)</f>
        <v>276</v>
      </c>
      <c r="U547" s="22" t="str">
        <f>IF(T547=1,COUNTIF($T$4:T547,1),"")</f>
        <v/>
      </c>
      <c r="V547" s="23" t="str">
        <f t="shared" si="38"/>
        <v/>
      </c>
      <c r="W547" s="23">
        <f t="shared" si="36"/>
        <v>0</v>
      </c>
      <c r="X547" s="24"/>
      <c r="Y547" s="23"/>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c r="EB547" s="9"/>
      <c r="EC547" s="9"/>
      <c r="ED547" s="9"/>
      <c r="EE547" s="9"/>
      <c r="EF547" s="9"/>
      <c r="EG547" s="9"/>
      <c r="EH547" s="9"/>
      <c r="EI547" s="9"/>
      <c r="EJ547" s="9"/>
      <c r="EK547" s="9"/>
      <c r="EL547" s="9"/>
      <c r="EM547" s="9"/>
      <c r="EN547" s="9"/>
      <c r="EO547" s="9"/>
      <c r="EP547" s="9"/>
      <c r="EQ547" s="9"/>
      <c r="ER547" s="9"/>
      <c r="ES547" s="9"/>
      <c r="ET547" s="9"/>
      <c r="EU547" s="9"/>
      <c r="EV547" s="9"/>
      <c r="EW547" s="9"/>
      <c r="EX547" s="9"/>
      <c r="EY547" s="9"/>
      <c r="EZ547" s="9"/>
      <c r="FA547" s="9"/>
      <c r="FB547" s="9"/>
      <c r="FC547" s="9"/>
      <c r="FD547" s="9"/>
      <c r="FE547" s="9"/>
      <c r="FF547" s="9"/>
      <c r="FG547" s="9"/>
      <c r="FH547" s="9"/>
      <c r="FI547" s="9"/>
      <c r="FJ547" s="9"/>
      <c r="FK547" s="9"/>
      <c r="FL547" s="9"/>
      <c r="FM547" s="9"/>
      <c r="FN547" s="9"/>
      <c r="FO547" s="9"/>
      <c r="FP547" s="9"/>
      <c r="FQ547" s="9"/>
      <c r="FR547" s="9"/>
      <c r="FS547" s="9"/>
      <c r="FT547" s="9"/>
      <c r="FU547" s="9"/>
      <c r="FV547" s="9"/>
      <c r="FW547" s="9"/>
      <c r="FX547" s="9"/>
      <c r="FY547" s="9"/>
      <c r="FZ547" s="9"/>
      <c r="GA547" s="9"/>
      <c r="GB547" s="9"/>
      <c r="GC547" s="9"/>
      <c r="GD547" s="9"/>
      <c r="GE547" s="9"/>
      <c r="GF547" s="9"/>
      <c r="GG547" s="9"/>
      <c r="GH547" s="9"/>
      <c r="GI547" s="9"/>
      <c r="GJ547" s="9"/>
      <c r="GK547" s="9"/>
      <c r="GL547" s="9"/>
      <c r="GM547" s="9"/>
      <c r="GN547" s="9"/>
      <c r="GO547" s="9"/>
      <c r="GP547" s="9"/>
      <c r="GQ547" s="9"/>
      <c r="GR547" s="9"/>
      <c r="GS547" s="9"/>
      <c r="GT547" s="9"/>
      <c r="GU547" s="9"/>
      <c r="GV547" s="9"/>
      <c r="GW547" s="9"/>
      <c r="GX547" s="9"/>
      <c r="GY547" s="9"/>
      <c r="GZ547" s="9"/>
      <c r="HA547" s="9"/>
      <c r="HB547" s="9"/>
      <c r="HC547" s="9"/>
      <c r="HD547" s="9"/>
      <c r="HE547" s="9"/>
      <c r="HF547" s="9"/>
      <c r="HG547" s="9"/>
      <c r="HH547" s="9"/>
      <c r="HI547" s="9"/>
      <c r="HJ547" s="9"/>
      <c r="HK547" s="9"/>
      <c r="HL547" s="9"/>
      <c r="HM547" s="9"/>
      <c r="HN547" s="9"/>
      <c r="HO547" s="9"/>
      <c r="HP547" s="9"/>
      <c r="HQ547" s="9"/>
      <c r="HR547" s="9"/>
      <c r="HS547" s="9"/>
      <c r="HT547" s="9"/>
      <c r="HU547" s="9"/>
      <c r="HV547" s="9"/>
      <c r="HW547" s="9"/>
      <c r="HX547" s="9"/>
      <c r="HY547" s="9"/>
      <c r="HZ547" s="9"/>
      <c r="IA547" s="9"/>
      <c r="IB547" s="9"/>
      <c r="IC547" s="9"/>
      <c r="ID547" s="9"/>
      <c r="IE547" s="9"/>
      <c r="IF547" s="9"/>
      <c r="IG547" s="9"/>
      <c r="IH547" s="9"/>
      <c r="II547" s="9"/>
      <c r="IJ547" s="9"/>
      <c r="IK547" s="9"/>
      <c r="IL547" s="9"/>
      <c r="IM547" s="9"/>
      <c r="IN547" s="9"/>
      <c r="IO547" s="9"/>
      <c r="IP547" s="9"/>
      <c r="IQ547" s="9"/>
      <c r="IR547" s="9"/>
      <c r="IS547" s="9"/>
      <c r="IT547" s="9"/>
      <c r="IU547" s="9"/>
      <c r="IV547" s="9"/>
    </row>
    <row r="548" spans="1:256" outlineLevel="1">
      <c r="A548" s="16"/>
      <c r="B548" s="44"/>
      <c r="C548" s="20"/>
      <c r="D548" s="20"/>
      <c r="E548" s="20"/>
      <c r="F548" s="21"/>
      <c r="G548" s="21"/>
      <c r="H548" s="21"/>
      <c r="I548" s="21"/>
      <c r="J548" s="21"/>
      <c r="K548" s="21"/>
      <c r="L548" s="21"/>
      <c r="M548" s="21"/>
      <c r="N548" s="21"/>
      <c r="O548" s="21"/>
      <c r="P548" s="21"/>
      <c r="Q548" s="21"/>
      <c r="R548" s="20"/>
      <c r="S548" s="22">
        <f t="shared" si="37"/>
        <v>0</v>
      </c>
      <c r="T548" s="22">
        <f>COUNTIF($V$4:V548,V548)</f>
        <v>277</v>
      </c>
      <c r="U548" s="22" t="str">
        <f>IF(T548=1,COUNTIF($T$4:T548,1),"")</f>
        <v/>
      </c>
      <c r="V548" s="23" t="str">
        <f t="shared" si="38"/>
        <v/>
      </c>
      <c r="W548" s="23">
        <f t="shared" si="36"/>
        <v>0</v>
      </c>
      <c r="X548" s="24"/>
      <c r="Y548" s="23"/>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c r="EB548" s="9"/>
      <c r="EC548" s="9"/>
      <c r="ED548" s="9"/>
      <c r="EE548" s="9"/>
      <c r="EF548" s="9"/>
      <c r="EG548" s="9"/>
      <c r="EH548" s="9"/>
      <c r="EI548" s="9"/>
      <c r="EJ548" s="9"/>
      <c r="EK548" s="9"/>
      <c r="EL548" s="9"/>
      <c r="EM548" s="9"/>
      <c r="EN548" s="9"/>
      <c r="EO548" s="9"/>
      <c r="EP548" s="9"/>
      <c r="EQ548" s="9"/>
      <c r="ER548" s="9"/>
      <c r="ES548" s="9"/>
      <c r="ET548" s="9"/>
      <c r="EU548" s="9"/>
      <c r="EV548" s="9"/>
      <c r="EW548" s="9"/>
      <c r="EX548" s="9"/>
      <c r="EY548" s="9"/>
      <c r="EZ548" s="9"/>
      <c r="FA548" s="9"/>
      <c r="FB548" s="9"/>
      <c r="FC548" s="9"/>
      <c r="FD548" s="9"/>
      <c r="FE548" s="9"/>
      <c r="FF548" s="9"/>
      <c r="FG548" s="9"/>
      <c r="FH548" s="9"/>
      <c r="FI548" s="9"/>
      <c r="FJ548" s="9"/>
      <c r="FK548" s="9"/>
      <c r="FL548" s="9"/>
      <c r="FM548" s="9"/>
      <c r="FN548" s="9"/>
      <c r="FO548" s="9"/>
      <c r="FP548" s="9"/>
      <c r="FQ548" s="9"/>
      <c r="FR548" s="9"/>
      <c r="FS548" s="9"/>
      <c r="FT548" s="9"/>
      <c r="FU548" s="9"/>
      <c r="FV548" s="9"/>
      <c r="FW548" s="9"/>
      <c r="FX548" s="9"/>
      <c r="FY548" s="9"/>
      <c r="FZ548" s="9"/>
      <c r="GA548" s="9"/>
      <c r="GB548" s="9"/>
      <c r="GC548" s="9"/>
      <c r="GD548" s="9"/>
      <c r="GE548" s="9"/>
      <c r="GF548" s="9"/>
      <c r="GG548" s="9"/>
      <c r="GH548" s="9"/>
      <c r="GI548" s="9"/>
      <c r="GJ548" s="9"/>
      <c r="GK548" s="9"/>
      <c r="GL548" s="9"/>
      <c r="GM548" s="9"/>
      <c r="GN548" s="9"/>
      <c r="GO548" s="9"/>
      <c r="GP548" s="9"/>
      <c r="GQ548" s="9"/>
      <c r="GR548" s="9"/>
      <c r="GS548" s="9"/>
      <c r="GT548" s="9"/>
      <c r="GU548" s="9"/>
      <c r="GV548" s="9"/>
      <c r="GW548" s="9"/>
      <c r="GX548" s="9"/>
      <c r="GY548" s="9"/>
      <c r="GZ548" s="9"/>
      <c r="HA548" s="9"/>
      <c r="HB548" s="9"/>
      <c r="HC548" s="9"/>
      <c r="HD548" s="9"/>
      <c r="HE548" s="9"/>
      <c r="HF548" s="9"/>
      <c r="HG548" s="9"/>
      <c r="HH548" s="9"/>
      <c r="HI548" s="9"/>
      <c r="HJ548" s="9"/>
      <c r="HK548" s="9"/>
      <c r="HL548" s="9"/>
      <c r="HM548" s="9"/>
      <c r="HN548" s="9"/>
      <c r="HO548" s="9"/>
      <c r="HP548" s="9"/>
      <c r="HQ548" s="9"/>
      <c r="HR548" s="9"/>
      <c r="HS548" s="9"/>
      <c r="HT548" s="9"/>
      <c r="HU548" s="9"/>
      <c r="HV548" s="9"/>
      <c r="HW548" s="9"/>
      <c r="HX548" s="9"/>
      <c r="HY548" s="9"/>
      <c r="HZ548" s="9"/>
      <c r="IA548" s="9"/>
      <c r="IB548" s="9"/>
      <c r="IC548" s="9"/>
      <c r="ID548" s="9"/>
      <c r="IE548" s="9"/>
      <c r="IF548" s="9"/>
      <c r="IG548" s="9"/>
      <c r="IH548" s="9"/>
      <c r="II548" s="9"/>
      <c r="IJ548" s="9"/>
      <c r="IK548" s="9"/>
      <c r="IL548" s="9"/>
      <c r="IM548" s="9"/>
      <c r="IN548" s="9"/>
      <c r="IO548" s="9"/>
      <c r="IP548" s="9"/>
      <c r="IQ548" s="9"/>
      <c r="IR548" s="9"/>
      <c r="IS548" s="9"/>
      <c r="IT548" s="9"/>
      <c r="IU548" s="9"/>
      <c r="IV548" s="9"/>
    </row>
    <row r="549" spans="1:256" outlineLevel="1">
      <c r="A549" s="16"/>
      <c r="B549" s="44"/>
      <c r="C549" s="20"/>
      <c r="D549" s="20"/>
      <c r="E549" s="20"/>
      <c r="F549" s="21"/>
      <c r="G549" s="21"/>
      <c r="H549" s="21"/>
      <c r="I549" s="21"/>
      <c r="J549" s="21"/>
      <c r="K549" s="21"/>
      <c r="L549" s="21"/>
      <c r="M549" s="21"/>
      <c r="N549" s="21"/>
      <c r="O549" s="21"/>
      <c r="P549" s="21"/>
      <c r="Q549" s="21"/>
      <c r="R549" s="20"/>
      <c r="S549" s="22">
        <f t="shared" si="37"/>
        <v>0</v>
      </c>
      <c r="T549" s="22">
        <f>COUNTIF($V$4:V549,V549)</f>
        <v>278</v>
      </c>
      <c r="U549" s="22" t="str">
        <f>IF(T549=1,COUNTIF($T$4:T549,1),"")</f>
        <v/>
      </c>
      <c r="V549" s="23" t="str">
        <f t="shared" si="38"/>
        <v/>
      </c>
      <c r="W549" s="23">
        <f t="shared" si="36"/>
        <v>0</v>
      </c>
      <c r="X549" s="24"/>
      <c r="Y549" s="23"/>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c r="EB549" s="9"/>
      <c r="EC549" s="9"/>
      <c r="ED549" s="9"/>
      <c r="EE549" s="9"/>
      <c r="EF549" s="9"/>
      <c r="EG549" s="9"/>
      <c r="EH549" s="9"/>
      <c r="EI549" s="9"/>
      <c r="EJ549" s="9"/>
      <c r="EK549" s="9"/>
      <c r="EL549" s="9"/>
      <c r="EM549" s="9"/>
      <c r="EN549" s="9"/>
      <c r="EO549" s="9"/>
      <c r="EP549" s="9"/>
      <c r="EQ549" s="9"/>
      <c r="ER549" s="9"/>
      <c r="ES549" s="9"/>
      <c r="ET549" s="9"/>
      <c r="EU549" s="9"/>
      <c r="EV549" s="9"/>
      <c r="EW549" s="9"/>
      <c r="EX549" s="9"/>
      <c r="EY549" s="9"/>
      <c r="EZ549" s="9"/>
      <c r="FA549" s="9"/>
      <c r="FB549" s="9"/>
      <c r="FC549" s="9"/>
      <c r="FD549" s="9"/>
      <c r="FE549" s="9"/>
      <c r="FF549" s="9"/>
      <c r="FG549" s="9"/>
      <c r="FH549" s="9"/>
      <c r="FI549" s="9"/>
      <c r="FJ549" s="9"/>
      <c r="FK549" s="9"/>
      <c r="FL549" s="9"/>
      <c r="FM549" s="9"/>
      <c r="FN549" s="9"/>
      <c r="FO549" s="9"/>
      <c r="FP549" s="9"/>
      <c r="FQ549" s="9"/>
      <c r="FR549" s="9"/>
      <c r="FS549" s="9"/>
      <c r="FT549" s="9"/>
      <c r="FU549" s="9"/>
      <c r="FV549" s="9"/>
      <c r="FW549" s="9"/>
      <c r="FX549" s="9"/>
      <c r="FY549" s="9"/>
      <c r="FZ549" s="9"/>
      <c r="GA549" s="9"/>
      <c r="GB549" s="9"/>
      <c r="GC549" s="9"/>
      <c r="GD549" s="9"/>
      <c r="GE549" s="9"/>
      <c r="GF549" s="9"/>
      <c r="GG549" s="9"/>
      <c r="GH549" s="9"/>
      <c r="GI549" s="9"/>
      <c r="GJ549" s="9"/>
      <c r="GK549" s="9"/>
      <c r="GL549" s="9"/>
      <c r="GM549" s="9"/>
      <c r="GN549" s="9"/>
      <c r="GO549" s="9"/>
      <c r="GP549" s="9"/>
      <c r="GQ549" s="9"/>
      <c r="GR549" s="9"/>
      <c r="GS549" s="9"/>
      <c r="GT549" s="9"/>
      <c r="GU549" s="9"/>
      <c r="GV549" s="9"/>
      <c r="GW549" s="9"/>
      <c r="GX549" s="9"/>
      <c r="GY549" s="9"/>
      <c r="GZ549" s="9"/>
      <c r="HA549" s="9"/>
      <c r="HB549" s="9"/>
      <c r="HC549" s="9"/>
      <c r="HD549" s="9"/>
      <c r="HE549" s="9"/>
      <c r="HF549" s="9"/>
      <c r="HG549" s="9"/>
      <c r="HH549" s="9"/>
      <c r="HI549" s="9"/>
      <c r="HJ549" s="9"/>
      <c r="HK549" s="9"/>
      <c r="HL549" s="9"/>
      <c r="HM549" s="9"/>
      <c r="HN549" s="9"/>
      <c r="HO549" s="9"/>
      <c r="HP549" s="9"/>
      <c r="HQ549" s="9"/>
      <c r="HR549" s="9"/>
      <c r="HS549" s="9"/>
      <c r="HT549" s="9"/>
      <c r="HU549" s="9"/>
      <c r="HV549" s="9"/>
      <c r="HW549" s="9"/>
      <c r="HX549" s="9"/>
      <c r="HY549" s="9"/>
      <c r="HZ549" s="9"/>
      <c r="IA549" s="9"/>
      <c r="IB549" s="9"/>
      <c r="IC549" s="9"/>
      <c r="ID549" s="9"/>
      <c r="IE549" s="9"/>
      <c r="IF549" s="9"/>
      <c r="IG549" s="9"/>
      <c r="IH549" s="9"/>
      <c r="II549" s="9"/>
      <c r="IJ549" s="9"/>
      <c r="IK549" s="9"/>
      <c r="IL549" s="9"/>
      <c r="IM549" s="9"/>
      <c r="IN549" s="9"/>
      <c r="IO549" s="9"/>
      <c r="IP549" s="9"/>
      <c r="IQ549" s="9"/>
      <c r="IR549" s="9"/>
      <c r="IS549" s="9"/>
      <c r="IT549" s="9"/>
      <c r="IU549" s="9"/>
      <c r="IV549" s="9"/>
    </row>
    <row r="550" spans="1:256" outlineLevel="1">
      <c r="A550" s="16"/>
      <c r="B550" s="44"/>
      <c r="C550" s="20"/>
      <c r="D550" s="20"/>
      <c r="E550" s="20"/>
      <c r="F550" s="21"/>
      <c r="G550" s="21"/>
      <c r="H550" s="21"/>
      <c r="I550" s="21"/>
      <c r="J550" s="21"/>
      <c r="K550" s="21"/>
      <c r="L550" s="21"/>
      <c r="M550" s="21"/>
      <c r="N550" s="21"/>
      <c r="O550" s="21"/>
      <c r="P550" s="21"/>
      <c r="Q550" s="21"/>
      <c r="R550" s="20"/>
      <c r="S550" s="22">
        <f t="shared" si="37"/>
        <v>0</v>
      </c>
      <c r="T550" s="22">
        <f>COUNTIF($V$4:V550,V550)</f>
        <v>279</v>
      </c>
      <c r="U550" s="22" t="str">
        <f>IF(T550=1,COUNTIF($T$4:T550,1),"")</f>
        <v/>
      </c>
      <c r="V550" s="23" t="str">
        <f t="shared" si="38"/>
        <v/>
      </c>
      <c r="W550" s="23">
        <f t="shared" si="36"/>
        <v>0</v>
      </c>
      <c r="X550" s="24"/>
      <c r="Y550" s="23"/>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c r="EB550" s="9"/>
      <c r="EC550" s="9"/>
      <c r="ED550" s="9"/>
      <c r="EE550" s="9"/>
      <c r="EF550" s="9"/>
      <c r="EG550" s="9"/>
      <c r="EH550" s="9"/>
      <c r="EI550" s="9"/>
      <c r="EJ550" s="9"/>
      <c r="EK550" s="9"/>
      <c r="EL550" s="9"/>
      <c r="EM550" s="9"/>
      <c r="EN550" s="9"/>
      <c r="EO550" s="9"/>
      <c r="EP550" s="9"/>
      <c r="EQ550" s="9"/>
      <c r="ER550" s="9"/>
      <c r="ES550" s="9"/>
      <c r="ET550" s="9"/>
      <c r="EU550" s="9"/>
      <c r="EV550" s="9"/>
      <c r="EW550" s="9"/>
      <c r="EX550" s="9"/>
      <c r="EY550" s="9"/>
      <c r="EZ550" s="9"/>
      <c r="FA550" s="9"/>
      <c r="FB550" s="9"/>
      <c r="FC550" s="9"/>
      <c r="FD550" s="9"/>
      <c r="FE550" s="9"/>
      <c r="FF550" s="9"/>
      <c r="FG550" s="9"/>
      <c r="FH550" s="9"/>
      <c r="FI550" s="9"/>
      <c r="FJ550" s="9"/>
      <c r="FK550" s="9"/>
      <c r="FL550" s="9"/>
      <c r="FM550" s="9"/>
      <c r="FN550" s="9"/>
      <c r="FO550" s="9"/>
      <c r="FP550" s="9"/>
      <c r="FQ550" s="9"/>
      <c r="FR550" s="9"/>
      <c r="FS550" s="9"/>
      <c r="FT550" s="9"/>
      <c r="FU550" s="9"/>
      <c r="FV550" s="9"/>
      <c r="FW550" s="9"/>
      <c r="FX550" s="9"/>
      <c r="FY550" s="9"/>
      <c r="FZ550" s="9"/>
      <c r="GA550" s="9"/>
      <c r="GB550" s="9"/>
      <c r="GC550" s="9"/>
      <c r="GD550" s="9"/>
      <c r="GE550" s="9"/>
      <c r="GF550" s="9"/>
      <c r="GG550" s="9"/>
      <c r="GH550" s="9"/>
      <c r="GI550" s="9"/>
      <c r="GJ550" s="9"/>
      <c r="GK550" s="9"/>
      <c r="GL550" s="9"/>
      <c r="GM550" s="9"/>
      <c r="GN550" s="9"/>
      <c r="GO550" s="9"/>
      <c r="GP550" s="9"/>
      <c r="GQ550" s="9"/>
      <c r="GR550" s="9"/>
      <c r="GS550" s="9"/>
      <c r="GT550" s="9"/>
      <c r="GU550" s="9"/>
      <c r="GV550" s="9"/>
      <c r="GW550" s="9"/>
      <c r="GX550" s="9"/>
      <c r="GY550" s="9"/>
      <c r="GZ550" s="9"/>
      <c r="HA550" s="9"/>
      <c r="HB550" s="9"/>
      <c r="HC550" s="9"/>
      <c r="HD550" s="9"/>
      <c r="HE550" s="9"/>
      <c r="HF550" s="9"/>
      <c r="HG550" s="9"/>
      <c r="HH550" s="9"/>
      <c r="HI550" s="9"/>
      <c r="HJ550" s="9"/>
      <c r="HK550" s="9"/>
      <c r="HL550" s="9"/>
      <c r="HM550" s="9"/>
      <c r="HN550" s="9"/>
      <c r="HO550" s="9"/>
      <c r="HP550" s="9"/>
      <c r="HQ550" s="9"/>
      <c r="HR550" s="9"/>
      <c r="HS550" s="9"/>
      <c r="HT550" s="9"/>
      <c r="HU550" s="9"/>
      <c r="HV550" s="9"/>
      <c r="HW550" s="9"/>
      <c r="HX550" s="9"/>
      <c r="HY550" s="9"/>
      <c r="HZ550" s="9"/>
      <c r="IA550" s="9"/>
      <c r="IB550" s="9"/>
      <c r="IC550" s="9"/>
      <c r="ID550" s="9"/>
      <c r="IE550" s="9"/>
      <c r="IF550" s="9"/>
      <c r="IG550" s="9"/>
      <c r="IH550" s="9"/>
      <c r="II550" s="9"/>
      <c r="IJ550" s="9"/>
      <c r="IK550" s="9"/>
      <c r="IL550" s="9"/>
      <c r="IM550" s="9"/>
      <c r="IN550" s="9"/>
      <c r="IO550" s="9"/>
      <c r="IP550" s="9"/>
      <c r="IQ550" s="9"/>
      <c r="IR550" s="9"/>
      <c r="IS550" s="9"/>
      <c r="IT550" s="9"/>
      <c r="IU550" s="9"/>
      <c r="IV550" s="9"/>
    </row>
    <row r="551" spans="1:256" outlineLevel="1">
      <c r="A551" s="16"/>
      <c r="B551" s="44"/>
      <c r="C551" s="20"/>
      <c r="D551" s="20"/>
      <c r="E551" s="20"/>
      <c r="F551" s="21"/>
      <c r="G551" s="21"/>
      <c r="H551" s="21"/>
      <c r="I551" s="21"/>
      <c r="J551" s="21"/>
      <c r="K551" s="21"/>
      <c r="L551" s="21"/>
      <c r="M551" s="21"/>
      <c r="N551" s="21"/>
      <c r="O551" s="21"/>
      <c r="P551" s="21"/>
      <c r="Q551" s="21"/>
      <c r="R551" s="20"/>
      <c r="S551" s="22">
        <f t="shared" si="37"/>
        <v>0</v>
      </c>
      <c r="T551" s="22">
        <f>COUNTIF($V$4:V551,V551)</f>
        <v>280</v>
      </c>
      <c r="U551" s="22" t="str">
        <f>IF(T551=1,COUNTIF($T$4:T551,1),"")</f>
        <v/>
      </c>
      <c r="V551" s="23" t="str">
        <f t="shared" si="38"/>
        <v/>
      </c>
      <c r="W551" s="23">
        <f t="shared" si="36"/>
        <v>0</v>
      </c>
      <c r="X551" s="24"/>
      <c r="Y551" s="23"/>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c r="EB551" s="9"/>
      <c r="EC551" s="9"/>
      <c r="ED551" s="9"/>
      <c r="EE551" s="9"/>
      <c r="EF551" s="9"/>
      <c r="EG551" s="9"/>
      <c r="EH551" s="9"/>
      <c r="EI551" s="9"/>
      <c r="EJ551" s="9"/>
      <c r="EK551" s="9"/>
      <c r="EL551" s="9"/>
      <c r="EM551" s="9"/>
      <c r="EN551" s="9"/>
      <c r="EO551" s="9"/>
      <c r="EP551" s="9"/>
      <c r="EQ551" s="9"/>
      <c r="ER551" s="9"/>
      <c r="ES551" s="9"/>
      <c r="ET551" s="9"/>
      <c r="EU551" s="9"/>
      <c r="EV551" s="9"/>
      <c r="EW551" s="9"/>
      <c r="EX551" s="9"/>
      <c r="EY551" s="9"/>
      <c r="EZ551" s="9"/>
      <c r="FA551" s="9"/>
      <c r="FB551" s="9"/>
      <c r="FC551" s="9"/>
      <c r="FD551" s="9"/>
      <c r="FE551" s="9"/>
      <c r="FF551" s="9"/>
      <c r="FG551" s="9"/>
      <c r="FH551" s="9"/>
      <c r="FI551" s="9"/>
      <c r="FJ551" s="9"/>
      <c r="FK551" s="9"/>
      <c r="FL551" s="9"/>
      <c r="FM551" s="9"/>
      <c r="FN551" s="9"/>
      <c r="FO551" s="9"/>
      <c r="FP551" s="9"/>
      <c r="FQ551" s="9"/>
      <c r="FR551" s="9"/>
      <c r="FS551" s="9"/>
      <c r="FT551" s="9"/>
      <c r="FU551" s="9"/>
      <c r="FV551" s="9"/>
      <c r="FW551" s="9"/>
      <c r="FX551" s="9"/>
      <c r="FY551" s="9"/>
      <c r="FZ551" s="9"/>
      <c r="GA551" s="9"/>
      <c r="GB551" s="9"/>
      <c r="GC551" s="9"/>
      <c r="GD551" s="9"/>
      <c r="GE551" s="9"/>
      <c r="GF551" s="9"/>
      <c r="GG551" s="9"/>
      <c r="GH551" s="9"/>
      <c r="GI551" s="9"/>
      <c r="GJ551" s="9"/>
      <c r="GK551" s="9"/>
      <c r="GL551" s="9"/>
      <c r="GM551" s="9"/>
      <c r="GN551" s="9"/>
      <c r="GO551" s="9"/>
      <c r="GP551" s="9"/>
      <c r="GQ551" s="9"/>
      <c r="GR551" s="9"/>
      <c r="GS551" s="9"/>
      <c r="GT551" s="9"/>
      <c r="GU551" s="9"/>
      <c r="GV551" s="9"/>
      <c r="GW551" s="9"/>
      <c r="GX551" s="9"/>
      <c r="GY551" s="9"/>
      <c r="GZ551" s="9"/>
      <c r="HA551" s="9"/>
      <c r="HB551" s="9"/>
      <c r="HC551" s="9"/>
      <c r="HD551" s="9"/>
      <c r="HE551" s="9"/>
      <c r="HF551" s="9"/>
      <c r="HG551" s="9"/>
      <c r="HH551" s="9"/>
      <c r="HI551" s="9"/>
      <c r="HJ551" s="9"/>
      <c r="HK551" s="9"/>
      <c r="HL551" s="9"/>
      <c r="HM551" s="9"/>
      <c r="HN551" s="9"/>
      <c r="HO551" s="9"/>
      <c r="HP551" s="9"/>
      <c r="HQ551" s="9"/>
      <c r="HR551" s="9"/>
      <c r="HS551" s="9"/>
      <c r="HT551" s="9"/>
      <c r="HU551" s="9"/>
      <c r="HV551" s="9"/>
      <c r="HW551" s="9"/>
      <c r="HX551" s="9"/>
      <c r="HY551" s="9"/>
      <c r="HZ551" s="9"/>
      <c r="IA551" s="9"/>
      <c r="IB551" s="9"/>
      <c r="IC551" s="9"/>
      <c r="ID551" s="9"/>
      <c r="IE551" s="9"/>
      <c r="IF551" s="9"/>
      <c r="IG551" s="9"/>
      <c r="IH551" s="9"/>
      <c r="II551" s="9"/>
      <c r="IJ551" s="9"/>
      <c r="IK551" s="9"/>
      <c r="IL551" s="9"/>
      <c r="IM551" s="9"/>
      <c r="IN551" s="9"/>
      <c r="IO551" s="9"/>
      <c r="IP551" s="9"/>
      <c r="IQ551" s="9"/>
      <c r="IR551" s="9"/>
      <c r="IS551" s="9"/>
      <c r="IT551" s="9"/>
      <c r="IU551" s="9"/>
      <c r="IV551" s="9"/>
    </row>
    <row r="552" spans="1:256" outlineLevel="1">
      <c r="A552" s="16"/>
      <c r="B552" s="44"/>
      <c r="C552" s="20"/>
      <c r="D552" s="20"/>
      <c r="E552" s="20"/>
      <c r="F552" s="21"/>
      <c r="G552" s="21"/>
      <c r="H552" s="21"/>
      <c r="I552" s="21"/>
      <c r="J552" s="21"/>
      <c r="K552" s="21"/>
      <c r="L552" s="21"/>
      <c r="M552" s="21"/>
      <c r="N552" s="21"/>
      <c r="O552" s="21"/>
      <c r="P552" s="21"/>
      <c r="Q552" s="21"/>
      <c r="R552" s="20"/>
      <c r="S552" s="22">
        <f t="shared" si="37"/>
        <v>0</v>
      </c>
      <c r="T552" s="22">
        <f>COUNTIF($V$4:V552,V552)</f>
        <v>281</v>
      </c>
      <c r="U552" s="22" t="str">
        <f>IF(T552=1,COUNTIF($T$4:T552,1),"")</f>
        <v/>
      </c>
      <c r="V552" s="23" t="str">
        <f t="shared" si="38"/>
        <v/>
      </c>
      <c r="W552" s="23">
        <f t="shared" si="36"/>
        <v>0</v>
      </c>
      <c r="X552" s="24"/>
      <c r="Y552" s="23"/>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c r="EB552" s="9"/>
      <c r="EC552" s="9"/>
      <c r="ED552" s="9"/>
      <c r="EE552" s="9"/>
      <c r="EF552" s="9"/>
      <c r="EG552" s="9"/>
      <c r="EH552" s="9"/>
      <c r="EI552" s="9"/>
      <c r="EJ552" s="9"/>
      <c r="EK552" s="9"/>
      <c r="EL552" s="9"/>
      <c r="EM552" s="9"/>
      <c r="EN552" s="9"/>
      <c r="EO552" s="9"/>
      <c r="EP552" s="9"/>
      <c r="EQ552" s="9"/>
      <c r="ER552" s="9"/>
      <c r="ES552" s="9"/>
      <c r="ET552" s="9"/>
      <c r="EU552" s="9"/>
      <c r="EV552" s="9"/>
      <c r="EW552" s="9"/>
      <c r="EX552" s="9"/>
      <c r="EY552" s="9"/>
      <c r="EZ552" s="9"/>
      <c r="FA552" s="9"/>
      <c r="FB552" s="9"/>
      <c r="FC552" s="9"/>
      <c r="FD552" s="9"/>
      <c r="FE552" s="9"/>
      <c r="FF552" s="9"/>
      <c r="FG552" s="9"/>
      <c r="FH552" s="9"/>
      <c r="FI552" s="9"/>
      <c r="FJ552" s="9"/>
      <c r="FK552" s="9"/>
      <c r="FL552" s="9"/>
      <c r="FM552" s="9"/>
      <c r="FN552" s="9"/>
      <c r="FO552" s="9"/>
      <c r="FP552" s="9"/>
      <c r="FQ552" s="9"/>
      <c r="FR552" s="9"/>
      <c r="FS552" s="9"/>
      <c r="FT552" s="9"/>
      <c r="FU552" s="9"/>
      <c r="FV552" s="9"/>
      <c r="FW552" s="9"/>
      <c r="FX552" s="9"/>
      <c r="FY552" s="9"/>
      <c r="FZ552" s="9"/>
      <c r="GA552" s="9"/>
      <c r="GB552" s="9"/>
      <c r="GC552" s="9"/>
      <c r="GD552" s="9"/>
      <c r="GE552" s="9"/>
      <c r="GF552" s="9"/>
      <c r="GG552" s="9"/>
      <c r="GH552" s="9"/>
      <c r="GI552" s="9"/>
      <c r="GJ552" s="9"/>
      <c r="GK552" s="9"/>
      <c r="GL552" s="9"/>
      <c r="GM552" s="9"/>
      <c r="GN552" s="9"/>
      <c r="GO552" s="9"/>
      <c r="GP552" s="9"/>
      <c r="GQ552" s="9"/>
      <c r="GR552" s="9"/>
      <c r="GS552" s="9"/>
      <c r="GT552" s="9"/>
      <c r="GU552" s="9"/>
      <c r="GV552" s="9"/>
      <c r="GW552" s="9"/>
      <c r="GX552" s="9"/>
      <c r="GY552" s="9"/>
      <c r="GZ552" s="9"/>
      <c r="HA552" s="9"/>
      <c r="HB552" s="9"/>
      <c r="HC552" s="9"/>
      <c r="HD552" s="9"/>
      <c r="HE552" s="9"/>
      <c r="HF552" s="9"/>
      <c r="HG552" s="9"/>
      <c r="HH552" s="9"/>
      <c r="HI552" s="9"/>
      <c r="HJ552" s="9"/>
      <c r="HK552" s="9"/>
      <c r="HL552" s="9"/>
      <c r="HM552" s="9"/>
      <c r="HN552" s="9"/>
      <c r="HO552" s="9"/>
      <c r="HP552" s="9"/>
      <c r="HQ552" s="9"/>
      <c r="HR552" s="9"/>
      <c r="HS552" s="9"/>
      <c r="HT552" s="9"/>
      <c r="HU552" s="9"/>
      <c r="HV552" s="9"/>
      <c r="HW552" s="9"/>
      <c r="HX552" s="9"/>
      <c r="HY552" s="9"/>
      <c r="HZ552" s="9"/>
      <c r="IA552" s="9"/>
      <c r="IB552" s="9"/>
      <c r="IC552" s="9"/>
      <c r="ID552" s="9"/>
      <c r="IE552" s="9"/>
      <c r="IF552" s="9"/>
      <c r="IG552" s="9"/>
      <c r="IH552" s="9"/>
      <c r="II552" s="9"/>
      <c r="IJ552" s="9"/>
      <c r="IK552" s="9"/>
      <c r="IL552" s="9"/>
      <c r="IM552" s="9"/>
      <c r="IN552" s="9"/>
      <c r="IO552" s="9"/>
      <c r="IP552" s="9"/>
      <c r="IQ552" s="9"/>
      <c r="IR552" s="9"/>
      <c r="IS552" s="9"/>
      <c r="IT552" s="9"/>
      <c r="IU552" s="9"/>
      <c r="IV552" s="9"/>
    </row>
    <row r="553" spans="1:256" outlineLevel="1">
      <c r="A553" s="16"/>
      <c r="B553" s="44"/>
      <c r="C553" s="20"/>
      <c r="D553" s="20"/>
      <c r="E553" s="20"/>
      <c r="F553" s="21"/>
      <c r="G553" s="21"/>
      <c r="H553" s="21"/>
      <c r="I553" s="21"/>
      <c r="J553" s="21"/>
      <c r="K553" s="21"/>
      <c r="L553" s="21"/>
      <c r="M553" s="21"/>
      <c r="N553" s="21"/>
      <c r="O553" s="21"/>
      <c r="P553" s="21"/>
      <c r="Q553" s="21"/>
      <c r="R553" s="20"/>
      <c r="S553" s="22">
        <f t="shared" si="37"/>
        <v>0</v>
      </c>
      <c r="T553" s="22">
        <f>COUNTIF($V$4:V553,V553)</f>
        <v>282</v>
      </c>
      <c r="U553" s="22" t="str">
        <f>IF(T553=1,COUNTIF($T$4:T553,1),"")</f>
        <v/>
      </c>
      <c r="V553" s="23" t="str">
        <f t="shared" si="38"/>
        <v/>
      </c>
      <c r="W553" s="23">
        <f t="shared" si="36"/>
        <v>0</v>
      </c>
      <c r="X553" s="24"/>
      <c r="Y553" s="23"/>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c r="EB553" s="9"/>
      <c r="EC553" s="9"/>
      <c r="ED553" s="9"/>
      <c r="EE553" s="9"/>
      <c r="EF553" s="9"/>
      <c r="EG553" s="9"/>
      <c r="EH553" s="9"/>
      <c r="EI553" s="9"/>
      <c r="EJ553" s="9"/>
      <c r="EK553" s="9"/>
      <c r="EL553" s="9"/>
      <c r="EM553" s="9"/>
      <c r="EN553" s="9"/>
      <c r="EO553" s="9"/>
      <c r="EP553" s="9"/>
      <c r="EQ553" s="9"/>
      <c r="ER553" s="9"/>
      <c r="ES553" s="9"/>
      <c r="ET553" s="9"/>
      <c r="EU553" s="9"/>
      <c r="EV553" s="9"/>
      <c r="EW553" s="9"/>
      <c r="EX553" s="9"/>
      <c r="EY553" s="9"/>
      <c r="EZ553" s="9"/>
      <c r="FA553" s="9"/>
      <c r="FB553" s="9"/>
      <c r="FC553" s="9"/>
      <c r="FD553" s="9"/>
      <c r="FE553" s="9"/>
      <c r="FF553" s="9"/>
      <c r="FG553" s="9"/>
      <c r="FH553" s="9"/>
      <c r="FI553" s="9"/>
      <c r="FJ553" s="9"/>
      <c r="FK553" s="9"/>
      <c r="FL553" s="9"/>
      <c r="FM553" s="9"/>
      <c r="FN553" s="9"/>
      <c r="FO553" s="9"/>
      <c r="FP553" s="9"/>
      <c r="FQ553" s="9"/>
      <c r="FR553" s="9"/>
      <c r="FS553" s="9"/>
      <c r="FT553" s="9"/>
      <c r="FU553" s="9"/>
      <c r="FV553" s="9"/>
      <c r="FW553" s="9"/>
      <c r="FX553" s="9"/>
      <c r="FY553" s="9"/>
      <c r="FZ553" s="9"/>
      <c r="GA553" s="9"/>
      <c r="GB553" s="9"/>
      <c r="GC553" s="9"/>
      <c r="GD553" s="9"/>
      <c r="GE553" s="9"/>
      <c r="GF553" s="9"/>
      <c r="GG553" s="9"/>
      <c r="GH553" s="9"/>
      <c r="GI553" s="9"/>
      <c r="GJ553" s="9"/>
      <c r="GK553" s="9"/>
      <c r="GL553" s="9"/>
      <c r="GM553" s="9"/>
      <c r="GN553" s="9"/>
      <c r="GO553" s="9"/>
      <c r="GP553" s="9"/>
      <c r="GQ553" s="9"/>
      <c r="GR553" s="9"/>
      <c r="GS553" s="9"/>
      <c r="GT553" s="9"/>
      <c r="GU553" s="9"/>
      <c r="GV553" s="9"/>
      <c r="GW553" s="9"/>
      <c r="GX553" s="9"/>
      <c r="GY553" s="9"/>
      <c r="GZ553" s="9"/>
      <c r="HA553" s="9"/>
      <c r="HB553" s="9"/>
      <c r="HC553" s="9"/>
      <c r="HD553" s="9"/>
      <c r="HE553" s="9"/>
      <c r="HF553" s="9"/>
      <c r="HG553" s="9"/>
      <c r="HH553" s="9"/>
      <c r="HI553" s="9"/>
      <c r="HJ553" s="9"/>
      <c r="HK553" s="9"/>
      <c r="HL553" s="9"/>
      <c r="HM553" s="9"/>
      <c r="HN553" s="9"/>
      <c r="HO553" s="9"/>
      <c r="HP553" s="9"/>
      <c r="HQ553" s="9"/>
      <c r="HR553" s="9"/>
      <c r="HS553" s="9"/>
      <c r="HT553" s="9"/>
      <c r="HU553" s="9"/>
      <c r="HV553" s="9"/>
      <c r="HW553" s="9"/>
      <c r="HX553" s="9"/>
      <c r="HY553" s="9"/>
      <c r="HZ553" s="9"/>
      <c r="IA553" s="9"/>
      <c r="IB553" s="9"/>
      <c r="IC553" s="9"/>
      <c r="ID553" s="9"/>
      <c r="IE553" s="9"/>
      <c r="IF553" s="9"/>
      <c r="IG553" s="9"/>
      <c r="IH553" s="9"/>
      <c r="II553" s="9"/>
      <c r="IJ553" s="9"/>
      <c r="IK553" s="9"/>
      <c r="IL553" s="9"/>
      <c r="IM553" s="9"/>
      <c r="IN553" s="9"/>
      <c r="IO553" s="9"/>
      <c r="IP553" s="9"/>
      <c r="IQ553" s="9"/>
      <c r="IR553" s="9"/>
      <c r="IS553" s="9"/>
      <c r="IT553" s="9"/>
      <c r="IU553" s="9"/>
      <c r="IV553" s="9"/>
    </row>
    <row r="554" spans="1:256" outlineLevel="1">
      <c r="A554" s="16"/>
      <c r="B554" s="44"/>
      <c r="C554" s="20"/>
      <c r="D554" s="20"/>
      <c r="E554" s="20"/>
      <c r="F554" s="21"/>
      <c r="G554" s="21"/>
      <c r="H554" s="21"/>
      <c r="I554" s="21"/>
      <c r="J554" s="21"/>
      <c r="K554" s="21"/>
      <c r="L554" s="21"/>
      <c r="M554" s="21"/>
      <c r="N554" s="21"/>
      <c r="O554" s="21"/>
      <c r="P554" s="21"/>
      <c r="Q554" s="21"/>
      <c r="R554" s="20"/>
      <c r="S554" s="22">
        <f t="shared" si="37"/>
        <v>0</v>
      </c>
      <c r="T554" s="22">
        <f>COUNTIF($V$4:V554,V554)</f>
        <v>283</v>
      </c>
      <c r="U554" s="22" t="str">
        <f>IF(T554=1,COUNTIF($T$4:T554,1),"")</f>
        <v/>
      </c>
      <c r="V554" s="23" t="str">
        <f t="shared" si="38"/>
        <v/>
      </c>
      <c r="W554" s="23">
        <f t="shared" si="36"/>
        <v>0</v>
      </c>
      <c r="X554" s="24"/>
      <c r="Y554" s="23"/>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c r="EB554" s="9"/>
      <c r="EC554" s="9"/>
      <c r="ED554" s="9"/>
      <c r="EE554" s="9"/>
      <c r="EF554" s="9"/>
      <c r="EG554" s="9"/>
      <c r="EH554" s="9"/>
      <c r="EI554" s="9"/>
      <c r="EJ554" s="9"/>
      <c r="EK554" s="9"/>
      <c r="EL554" s="9"/>
      <c r="EM554" s="9"/>
      <c r="EN554" s="9"/>
      <c r="EO554" s="9"/>
      <c r="EP554" s="9"/>
      <c r="EQ554" s="9"/>
      <c r="ER554" s="9"/>
      <c r="ES554" s="9"/>
      <c r="ET554" s="9"/>
      <c r="EU554" s="9"/>
      <c r="EV554" s="9"/>
      <c r="EW554" s="9"/>
      <c r="EX554" s="9"/>
      <c r="EY554" s="9"/>
      <c r="EZ554" s="9"/>
      <c r="FA554" s="9"/>
      <c r="FB554" s="9"/>
      <c r="FC554" s="9"/>
      <c r="FD554" s="9"/>
      <c r="FE554" s="9"/>
      <c r="FF554" s="9"/>
      <c r="FG554" s="9"/>
      <c r="FH554" s="9"/>
      <c r="FI554" s="9"/>
      <c r="FJ554" s="9"/>
      <c r="FK554" s="9"/>
      <c r="FL554" s="9"/>
      <c r="FM554" s="9"/>
      <c r="FN554" s="9"/>
      <c r="FO554" s="9"/>
      <c r="FP554" s="9"/>
      <c r="FQ554" s="9"/>
      <c r="FR554" s="9"/>
      <c r="FS554" s="9"/>
      <c r="FT554" s="9"/>
      <c r="FU554" s="9"/>
      <c r="FV554" s="9"/>
      <c r="FW554" s="9"/>
      <c r="FX554" s="9"/>
      <c r="FY554" s="9"/>
      <c r="FZ554" s="9"/>
      <c r="GA554" s="9"/>
      <c r="GB554" s="9"/>
      <c r="GC554" s="9"/>
      <c r="GD554" s="9"/>
      <c r="GE554" s="9"/>
      <c r="GF554" s="9"/>
      <c r="GG554" s="9"/>
      <c r="GH554" s="9"/>
      <c r="GI554" s="9"/>
      <c r="GJ554" s="9"/>
      <c r="GK554" s="9"/>
      <c r="GL554" s="9"/>
      <c r="GM554" s="9"/>
      <c r="GN554" s="9"/>
      <c r="GO554" s="9"/>
      <c r="GP554" s="9"/>
      <c r="GQ554" s="9"/>
      <c r="GR554" s="9"/>
      <c r="GS554" s="9"/>
      <c r="GT554" s="9"/>
      <c r="GU554" s="9"/>
      <c r="GV554" s="9"/>
      <c r="GW554" s="9"/>
      <c r="GX554" s="9"/>
      <c r="GY554" s="9"/>
      <c r="GZ554" s="9"/>
      <c r="HA554" s="9"/>
      <c r="HB554" s="9"/>
      <c r="HC554" s="9"/>
      <c r="HD554" s="9"/>
      <c r="HE554" s="9"/>
      <c r="HF554" s="9"/>
      <c r="HG554" s="9"/>
      <c r="HH554" s="9"/>
      <c r="HI554" s="9"/>
      <c r="HJ554" s="9"/>
      <c r="HK554" s="9"/>
      <c r="HL554" s="9"/>
      <c r="HM554" s="9"/>
      <c r="HN554" s="9"/>
      <c r="HO554" s="9"/>
      <c r="HP554" s="9"/>
      <c r="HQ554" s="9"/>
      <c r="HR554" s="9"/>
      <c r="HS554" s="9"/>
      <c r="HT554" s="9"/>
      <c r="HU554" s="9"/>
      <c r="HV554" s="9"/>
      <c r="HW554" s="9"/>
      <c r="HX554" s="9"/>
      <c r="HY554" s="9"/>
      <c r="HZ554" s="9"/>
      <c r="IA554" s="9"/>
      <c r="IB554" s="9"/>
      <c r="IC554" s="9"/>
      <c r="ID554" s="9"/>
      <c r="IE554" s="9"/>
      <c r="IF554" s="9"/>
      <c r="IG554" s="9"/>
      <c r="IH554" s="9"/>
      <c r="II554" s="9"/>
      <c r="IJ554" s="9"/>
      <c r="IK554" s="9"/>
      <c r="IL554" s="9"/>
      <c r="IM554" s="9"/>
      <c r="IN554" s="9"/>
      <c r="IO554" s="9"/>
      <c r="IP554" s="9"/>
      <c r="IQ554" s="9"/>
      <c r="IR554" s="9"/>
      <c r="IS554" s="9"/>
      <c r="IT554" s="9"/>
      <c r="IU554" s="9"/>
      <c r="IV554" s="9"/>
    </row>
    <row r="555" spans="1:256" outlineLevel="1">
      <c r="A555" s="16"/>
      <c r="B555" s="44"/>
      <c r="C555" s="20"/>
      <c r="D555" s="20"/>
      <c r="E555" s="20"/>
      <c r="F555" s="21"/>
      <c r="G555" s="21"/>
      <c r="H555" s="21"/>
      <c r="I555" s="21"/>
      <c r="J555" s="21"/>
      <c r="K555" s="21"/>
      <c r="L555" s="21"/>
      <c r="M555" s="21"/>
      <c r="N555" s="21"/>
      <c r="O555" s="21"/>
      <c r="P555" s="21"/>
      <c r="Q555" s="21"/>
      <c r="R555" s="20"/>
      <c r="S555" s="22">
        <f t="shared" si="37"/>
        <v>0</v>
      </c>
      <c r="T555" s="22">
        <f>COUNTIF($V$4:V555,V555)</f>
        <v>284</v>
      </c>
      <c r="U555" s="22" t="str">
        <f>IF(T555=1,COUNTIF($T$4:T555,1),"")</f>
        <v/>
      </c>
      <c r="V555" s="23" t="str">
        <f t="shared" si="38"/>
        <v/>
      </c>
      <c r="W555" s="23">
        <f t="shared" si="36"/>
        <v>0</v>
      </c>
      <c r="X555" s="24"/>
      <c r="Y555" s="23"/>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c r="EB555" s="9"/>
      <c r="EC555" s="9"/>
      <c r="ED555" s="9"/>
      <c r="EE555" s="9"/>
      <c r="EF555" s="9"/>
      <c r="EG555" s="9"/>
      <c r="EH555" s="9"/>
      <c r="EI555" s="9"/>
      <c r="EJ555" s="9"/>
      <c r="EK555" s="9"/>
      <c r="EL555" s="9"/>
      <c r="EM555" s="9"/>
      <c r="EN555" s="9"/>
      <c r="EO555" s="9"/>
      <c r="EP555" s="9"/>
      <c r="EQ555" s="9"/>
      <c r="ER555" s="9"/>
      <c r="ES555" s="9"/>
      <c r="ET555" s="9"/>
      <c r="EU555" s="9"/>
      <c r="EV555" s="9"/>
      <c r="EW555" s="9"/>
      <c r="EX555" s="9"/>
      <c r="EY555" s="9"/>
      <c r="EZ555" s="9"/>
      <c r="FA555" s="9"/>
      <c r="FB555" s="9"/>
      <c r="FC555" s="9"/>
      <c r="FD555" s="9"/>
      <c r="FE555" s="9"/>
      <c r="FF555" s="9"/>
      <c r="FG555" s="9"/>
      <c r="FH555" s="9"/>
      <c r="FI555" s="9"/>
      <c r="FJ555" s="9"/>
      <c r="FK555" s="9"/>
      <c r="FL555" s="9"/>
      <c r="FM555" s="9"/>
      <c r="FN555" s="9"/>
      <c r="FO555" s="9"/>
      <c r="FP555" s="9"/>
      <c r="FQ555" s="9"/>
      <c r="FR555" s="9"/>
      <c r="FS555" s="9"/>
      <c r="FT555" s="9"/>
      <c r="FU555" s="9"/>
      <c r="FV555" s="9"/>
      <c r="FW555" s="9"/>
      <c r="FX555" s="9"/>
      <c r="FY555" s="9"/>
      <c r="FZ555" s="9"/>
      <c r="GA555" s="9"/>
      <c r="GB555" s="9"/>
      <c r="GC555" s="9"/>
      <c r="GD555" s="9"/>
      <c r="GE555" s="9"/>
      <c r="GF555" s="9"/>
      <c r="GG555" s="9"/>
      <c r="GH555" s="9"/>
      <c r="GI555" s="9"/>
      <c r="GJ555" s="9"/>
      <c r="GK555" s="9"/>
      <c r="GL555" s="9"/>
      <c r="GM555" s="9"/>
      <c r="GN555" s="9"/>
      <c r="GO555" s="9"/>
      <c r="GP555" s="9"/>
      <c r="GQ555" s="9"/>
      <c r="GR555" s="9"/>
      <c r="GS555" s="9"/>
      <c r="GT555" s="9"/>
      <c r="GU555" s="9"/>
      <c r="GV555" s="9"/>
      <c r="GW555" s="9"/>
      <c r="GX555" s="9"/>
      <c r="GY555" s="9"/>
      <c r="GZ555" s="9"/>
      <c r="HA555" s="9"/>
      <c r="HB555" s="9"/>
      <c r="HC555" s="9"/>
      <c r="HD555" s="9"/>
      <c r="HE555" s="9"/>
      <c r="HF555" s="9"/>
      <c r="HG555" s="9"/>
      <c r="HH555" s="9"/>
      <c r="HI555" s="9"/>
      <c r="HJ555" s="9"/>
      <c r="HK555" s="9"/>
      <c r="HL555" s="9"/>
      <c r="HM555" s="9"/>
      <c r="HN555" s="9"/>
      <c r="HO555" s="9"/>
      <c r="HP555" s="9"/>
      <c r="HQ555" s="9"/>
      <c r="HR555" s="9"/>
      <c r="HS555" s="9"/>
      <c r="HT555" s="9"/>
      <c r="HU555" s="9"/>
      <c r="HV555" s="9"/>
      <c r="HW555" s="9"/>
      <c r="HX555" s="9"/>
      <c r="HY555" s="9"/>
      <c r="HZ555" s="9"/>
      <c r="IA555" s="9"/>
      <c r="IB555" s="9"/>
      <c r="IC555" s="9"/>
      <c r="ID555" s="9"/>
      <c r="IE555" s="9"/>
      <c r="IF555" s="9"/>
      <c r="IG555" s="9"/>
      <c r="IH555" s="9"/>
      <c r="II555" s="9"/>
      <c r="IJ555" s="9"/>
      <c r="IK555" s="9"/>
      <c r="IL555" s="9"/>
      <c r="IM555" s="9"/>
      <c r="IN555" s="9"/>
      <c r="IO555" s="9"/>
      <c r="IP555" s="9"/>
      <c r="IQ555" s="9"/>
      <c r="IR555" s="9"/>
      <c r="IS555" s="9"/>
      <c r="IT555" s="9"/>
      <c r="IU555" s="9"/>
      <c r="IV555" s="9"/>
    </row>
    <row r="556" spans="1:256" outlineLevel="1">
      <c r="A556" s="16"/>
      <c r="B556" s="44"/>
      <c r="C556" s="20"/>
      <c r="D556" s="20"/>
      <c r="E556" s="20"/>
      <c r="F556" s="21"/>
      <c r="G556" s="21"/>
      <c r="H556" s="21"/>
      <c r="I556" s="21"/>
      <c r="J556" s="21"/>
      <c r="K556" s="21"/>
      <c r="L556" s="21"/>
      <c r="M556" s="21"/>
      <c r="N556" s="21"/>
      <c r="O556" s="21"/>
      <c r="P556" s="21"/>
      <c r="Q556" s="21"/>
      <c r="R556" s="20"/>
      <c r="S556" s="22">
        <f t="shared" si="37"/>
        <v>0</v>
      </c>
      <c r="T556" s="22">
        <f>COUNTIF($V$4:V556,V556)</f>
        <v>285</v>
      </c>
      <c r="U556" s="22" t="str">
        <f>IF(T556=1,COUNTIF($T$4:T556,1),"")</f>
        <v/>
      </c>
      <c r="V556" s="23" t="str">
        <f t="shared" si="38"/>
        <v/>
      </c>
      <c r="W556" s="23">
        <f t="shared" si="36"/>
        <v>0</v>
      </c>
      <c r="X556" s="24"/>
      <c r="Y556" s="23"/>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c r="EB556" s="9"/>
      <c r="EC556" s="9"/>
      <c r="ED556" s="9"/>
      <c r="EE556" s="9"/>
      <c r="EF556" s="9"/>
      <c r="EG556" s="9"/>
      <c r="EH556" s="9"/>
      <c r="EI556" s="9"/>
      <c r="EJ556" s="9"/>
      <c r="EK556" s="9"/>
      <c r="EL556" s="9"/>
      <c r="EM556" s="9"/>
      <c r="EN556" s="9"/>
      <c r="EO556" s="9"/>
      <c r="EP556" s="9"/>
      <c r="EQ556" s="9"/>
      <c r="ER556" s="9"/>
      <c r="ES556" s="9"/>
      <c r="ET556" s="9"/>
      <c r="EU556" s="9"/>
      <c r="EV556" s="9"/>
      <c r="EW556" s="9"/>
      <c r="EX556" s="9"/>
      <c r="EY556" s="9"/>
      <c r="EZ556" s="9"/>
      <c r="FA556" s="9"/>
      <c r="FB556" s="9"/>
      <c r="FC556" s="9"/>
      <c r="FD556" s="9"/>
      <c r="FE556" s="9"/>
      <c r="FF556" s="9"/>
      <c r="FG556" s="9"/>
      <c r="FH556" s="9"/>
      <c r="FI556" s="9"/>
      <c r="FJ556" s="9"/>
      <c r="FK556" s="9"/>
      <c r="FL556" s="9"/>
      <c r="FM556" s="9"/>
      <c r="FN556" s="9"/>
      <c r="FO556" s="9"/>
      <c r="FP556" s="9"/>
      <c r="FQ556" s="9"/>
      <c r="FR556" s="9"/>
      <c r="FS556" s="9"/>
      <c r="FT556" s="9"/>
      <c r="FU556" s="9"/>
      <c r="FV556" s="9"/>
      <c r="FW556" s="9"/>
      <c r="FX556" s="9"/>
      <c r="FY556" s="9"/>
      <c r="FZ556" s="9"/>
      <c r="GA556" s="9"/>
      <c r="GB556" s="9"/>
      <c r="GC556" s="9"/>
      <c r="GD556" s="9"/>
      <c r="GE556" s="9"/>
      <c r="GF556" s="9"/>
      <c r="GG556" s="9"/>
      <c r="GH556" s="9"/>
      <c r="GI556" s="9"/>
      <c r="GJ556" s="9"/>
      <c r="GK556" s="9"/>
      <c r="GL556" s="9"/>
      <c r="GM556" s="9"/>
      <c r="GN556" s="9"/>
      <c r="GO556" s="9"/>
      <c r="GP556" s="9"/>
      <c r="GQ556" s="9"/>
      <c r="GR556" s="9"/>
      <c r="GS556" s="9"/>
      <c r="GT556" s="9"/>
      <c r="GU556" s="9"/>
      <c r="GV556" s="9"/>
      <c r="GW556" s="9"/>
      <c r="GX556" s="9"/>
      <c r="GY556" s="9"/>
      <c r="GZ556" s="9"/>
      <c r="HA556" s="9"/>
      <c r="HB556" s="9"/>
      <c r="HC556" s="9"/>
      <c r="HD556" s="9"/>
      <c r="HE556" s="9"/>
      <c r="HF556" s="9"/>
      <c r="HG556" s="9"/>
      <c r="HH556" s="9"/>
      <c r="HI556" s="9"/>
      <c r="HJ556" s="9"/>
      <c r="HK556" s="9"/>
      <c r="HL556" s="9"/>
      <c r="HM556" s="9"/>
      <c r="HN556" s="9"/>
      <c r="HO556" s="9"/>
      <c r="HP556" s="9"/>
      <c r="HQ556" s="9"/>
      <c r="HR556" s="9"/>
      <c r="HS556" s="9"/>
      <c r="HT556" s="9"/>
      <c r="HU556" s="9"/>
      <c r="HV556" s="9"/>
      <c r="HW556" s="9"/>
      <c r="HX556" s="9"/>
      <c r="HY556" s="9"/>
      <c r="HZ556" s="9"/>
      <c r="IA556" s="9"/>
      <c r="IB556" s="9"/>
      <c r="IC556" s="9"/>
      <c r="ID556" s="9"/>
      <c r="IE556" s="9"/>
      <c r="IF556" s="9"/>
      <c r="IG556" s="9"/>
      <c r="IH556" s="9"/>
      <c r="II556" s="9"/>
      <c r="IJ556" s="9"/>
      <c r="IK556" s="9"/>
      <c r="IL556" s="9"/>
      <c r="IM556" s="9"/>
      <c r="IN556" s="9"/>
      <c r="IO556" s="9"/>
      <c r="IP556" s="9"/>
      <c r="IQ556" s="9"/>
      <c r="IR556" s="9"/>
      <c r="IS556" s="9"/>
      <c r="IT556" s="9"/>
      <c r="IU556" s="9"/>
      <c r="IV556" s="9"/>
    </row>
    <row r="557" spans="1:256" outlineLevel="1">
      <c r="A557" s="16"/>
      <c r="B557" s="44"/>
      <c r="C557" s="20"/>
      <c r="D557" s="20"/>
      <c r="E557" s="20"/>
      <c r="F557" s="21"/>
      <c r="G557" s="21"/>
      <c r="H557" s="21"/>
      <c r="I557" s="21"/>
      <c r="J557" s="21"/>
      <c r="K557" s="21"/>
      <c r="L557" s="21"/>
      <c r="M557" s="21"/>
      <c r="N557" s="21"/>
      <c r="O557" s="21"/>
      <c r="P557" s="21"/>
      <c r="Q557" s="21"/>
      <c r="R557" s="20"/>
      <c r="S557" s="22">
        <f t="shared" si="37"/>
        <v>0</v>
      </c>
      <c r="T557" s="22">
        <f>COUNTIF($V$4:V557,V557)</f>
        <v>286</v>
      </c>
      <c r="U557" s="22" t="str">
        <f>IF(T557=1,COUNTIF($T$4:T557,1),"")</f>
        <v/>
      </c>
      <c r="V557" s="23" t="str">
        <f t="shared" si="38"/>
        <v/>
      </c>
      <c r="W557" s="23">
        <f t="shared" si="36"/>
        <v>0</v>
      </c>
      <c r="X557" s="24"/>
      <c r="Y557" s="23"/>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c r="EB557" s="9"/>
      <c r="EC557" s="9"/>
      <c r="ED557" s="9"/>
      <c r="EE557" s="9"/>
      <c r="EF557" s="9"/>
      <c r="EG557" s="9"/>
      <c r="EH557" s="9"/>
      <c r="EI557" s="9"/>
      <c r="EJ557" s="9"/>
      <c r="EK557" s="9"/>
      <c r="EL557" s="9"/>
      <c r="EM557" s="9"/>
      <c r="EN557" s="9"/>
      <c r="EO557" s="9"/>
      <c r="EP557" s="9"/>
      <c r="EQ557" s="9"/>
      <c r="ER557" s="9"/>
      <c r="ES557" s="9"/>
      <c r="ET557" s="9"/>
      <c r="EU557" s="9"/>
      <c r="EV557" s="9"/>
      <c r="EW557" s="9"/>
      <c r="EX557" s="9"/>
      <c r="EY557" s="9"/>
      <c r="EZ557" s="9"/>
      <c r="FA557" s="9"/>
      <c r="FB557" s="9"/>
      <c r="FC557" s="9"/>
      <c r="FD557" s="9"/>
      <c r="FE557" s="9"/>
      <c r="FF557" s="9"/>
      <c r="FG557" s="9"/>
      <c r="FH557" s="9"/>
      <c r="FI557" s="9"/>
      <c r="FJ557" s="9"/>
      <c r="FK557" s="9"/>
      <c r="FL557" s="9"/>
      <c r="FM557" s="9"/>
      <c r="FN557" s="9"/>
      <c r="FO557" s="9"/>
      <c r="FP557" s="9"/>
      <c r="FQ557" s="9"/>
      <c r="FR557" s="9"/>
      <c r="FS557" s="9"/>
      <c r="FT557" s="9"/>
      <c r="FU557" s="9"/>
      <c r="FV557" s="9"/>
      <c r="FW557" s="9"/>
      <c r="FX557" s="9"/>
      <c r="FY557" s="9"/>
      <c r="FZ557" s="9"/>
      <c r="GA557" s="9"/>
      <c r="GB557" s="9"/>
      <c r="GC557" s="9"/>
      <c r="GD557" s="9"/>
      <c r="GE557" s="9"/>
      <c r="GF557" s="9"/>
      <c r="GG557" s="9"/>
      <c r="GH557" s="9"/>
      <c r="GI557" s="9"/>
      <c r="GJ557" s="9"/>
      <c r="GK557" s="9"/>
      <c r="GL557" s="9"/>
      <c r="GM557" s="9"/>
      <c r="GN557" s="9"/>
      <c r="GO557" s="9"/>
      <c r="GP557" s="9"/>
      <c r="GQ557" s="9"/>
      <c r="GR557" s="9"/>
      <c r="GS557" s="9"/>
      <c r="GT557" s="9"/>
      <c r="GU557" s="9"/>
      <c r="GV557" s="9"/>
      <c r="GW557" s="9"/>
      <c r="GX557" s="9"/>
      <c r="GY557" s="9"/>
      <c r="GZ557" s="9"/>
      <c r="HA557" s="9"/>
      <c r="HB557" s="9"/>
      <c r="HC557" s="9"/>
      <c r="HD557" s="9"/>
      <c r="HE557" s="9"/>
      <c r="HF557" s="9"/>
      <c r="HG557" s="9"/>
      <c r="HH557" s="9"/>
      <c r="HI557" s="9"/>
      <c r="HJ557" s="9"/>
      <c r="HK557" s="9"/>
      <c r="HL557" s="9"/>
      <c r="HM557" s="9"/>
      <c r="HN557" s="9"/>
      <c r="HO557" s="9"/>
      <c r="HP557" s="9"/>
      <c r="HQ557" s="9"/>
      <c r="HR557" s="9"/>
      <c r="HS557" s="9"/>
      <c r="HT557" s="9"/>
      <c r="HU557" s="9"/>
      <c r="HV557" s="9"/>
      <c r="HW557" s="9"/>
      <c r="HX557" s="9"/>
      <c r="HY557" s="9"/>
      <c r="HZ557" s="9"/>
      <c r="IA557" s="9"/>
      <c r="IB557" s="9"/>
      <c r="IC557" s="9"/>
      <c r="ID557" s="9"/>
      <c r="IE557" s="9"/>
      <c r="IF557" s="9"/>
      <c r="IG557" s="9"/>
      <c r="IH557" s="9"/>
      <c r="II557" s="9"/>
      <c r="IJ557" s="9"/>
      <c r="IK557" s="9"/>
      <c r="IL557" s="9"/>
      <c r="IM557" s="9"/>
      <c r="IN557" s="9"/>
      <c r="IO557" s="9"/>
      <c r="IP557" s="9"/>
      <c r="IQ557" s="9"/>
      <c r="IR557" s="9"/>
      <c r="IS557" s="9"/>
      <c r="IT557" s="9"/>
      <c r="IU557" s="9"/>
      <c r="IV557" s="9"/>
    </row>
    <row r="558" spans="1:256" outlineLevel="1">
      <c r="A558" s="16"/>
      <c r="B558" s="44"/>
      <c r="C558" s="20"/>
      <c r="D558" s="20"/>
      <c r="E558" s="20"/>
      <c r="F558" s="21"/>
      <c r="G558" s="21"/>
      <c r="H558" s="21"/>
      <c r="I558" s="21"/>
      <c r="J558" s="21"/>
      <c r="K558" s="21"/>
      <c r="L558" s="21"/>
      <c r="M558" s="21"/>
      <c r="N558" s="21"/>
      <c r="O558" s="21"/>
      <c r="P558" s="21"/>
      <c r="Q558" s="21"/>
      <c r="R558" s="20"/>
      <c r="S558" s="22">
        <f t="shared" si="37"/>
        <v>0</v>
      </c>
      <c r="T558" s="22">
        <f>COUNTIF($V$4:V558,V558)</f>
        <v>287</v>
      </c>
      <c r="U558" s="22" t="str">
        <f>IF(T558=1,COUNTIF($T$4:T558,1),"")</f>
        <v/>
      </c>
      <c r="V558" s="23" t="str">
        <f t="shared" si="38"/>
        <v/>
      </c>
      <c r="W558" s="23">
        <f t="shared" si="36"/>
        <v>0</v>
      </c>
      <c r="X558" s="24"/>
      <c r="Y558" s="23"/>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c r="EB558" s="9"/>
      <c r="EC558" s="9"/>
      <c r="ED558" s="9"/>
      <c r="EE558" s="9"/>
      <c r="EF558" s="9"/>
      <c r="EG558" s="9"/>
      <c r="EH558" s="9"/>
      <c r="EI558" s="9"/>
      <c r="EJ558" s="9"/>
      <c r="EK558" s="9"/>
      <c r="EL558" s="9"/>
      <c r="EM558" s="9"/>
      <c r="EN558" s="9"/>
      <c r="EO558" s="9"/>
      <c r="EP558" s="9"/>
      <c r="EQ558" s="9"/>
      <c r="ER558" s="9"/>
      <c r="ES558" s="9"/>
      <c r="ET558" s="9"/>
      <c r="EU558" s="9"/>
      <c r="EV558" s="9"/>
      <c r="EW558" s="9"/>
      <c r="EX558" s="9"/>
      <c r="EY558" s="9"/>
      <c r="EZ558" s="9"/>
      <c r="FA558" s="9"/>
      <c r="FB558" s="9"/>
      <c r="FC558" s="9"/>
      <c r="FD558" s="9"/>
      <c r="FE558" s="9"/>
      <c r="FF558" s="9"/>
      <c r="FG558" s="9"/>
      <c r="FH558" s="9"/>
      <c r="FI558" s="9"/>
      <c r="FJ558" s="9"/>
      <c r="FK558" s="9"/>
      <c r="FL558" s="9"/>
      <c r="FM558" s="9"/>
      <c r="FN558" s="9"/>
      <c r="FO558" s="9"/>
      <c r="FP558" s="9"/>
      <c r="FQ558" s="9"/>
      <c r="FR558" s="9"/>
      <c r="FS558" s="9"/>
      <c r="FT558" s="9"/>
      <c r="FU558" s="9"/>
      <c r="FV558" s="9"/>
      <c r="FW558" s="9"/>
      <c r="FX558" s="9"/>
      <c r="FY558" s="9"/>
      <c r="FZ558" s="9"/>
      <c r="GA558" s="9"/>
      <c r="GB558" s="9"/>
      <c r="GC558" s="9"/>
      <c r="GD558" s="9"/>
      <c r="GE558" s="9"/>
      <c r="GF558" s="9"/>
      <c r="GG558" s="9"/>
      <c r="GH558" s="9"/>
      <c r="GI558" s="9"/>
      <c r="GJ558" s="9"/>
      <c r="GK558" s="9"/>
      <c r="GL558" s="9"/>
      <c r="GM558" s="9"/>
      <c r="GN558" s="9"/>
      <c r="GO558" s="9"/>
      <c r="GP558" s="9"/>
      <c r="GQ558" s="9"/>
      <c r="GR558" s="9"/>
      <c r="GS558" s="9"/>
      <c r="GT558" s="9"/>
      <c r="GU558" s="9"/>
      <c r="GV558" s="9"/>
      <c r="GW558" s="9"/>
      <c r="GX558" s="9"/>
      <c r="GY558" s="9"/>
      <c r="GZ558" s="9"/>
      <c r="HA558" s="9"/>
      <c r="HB558" s="9"/>
      <c r="HC558" s="9"/>
      <c r="HD558" s="9"/>
      <c r="HE558" s="9"/>
      <c r="HF558" s="9"/>
      <c r="HG558" s="9"/>
      <c r="HH558" s="9"/>
      <c r="HI558" s="9"/>
      <c r="HJ558" s="9"/>
      <c r="HK558" s="9"/>
      <c r="HL558" s="9"/>
      <c r="HM558" s="9"/>
      <c r="HN558" s="9"/>
      <c r="HO558" s="9"/>
      <c r="HP558" s="9"/>
      <c r="HQ558" s="9"/>
      <c r="HR558" s="9"/>
      <c r="HS558" s="9"/>
      <c r="HT558" s="9"/>
      <c r="HU558" s="9"/>
      <c r="HV558" s="9"/>
      <c r="HW558" s="9"/>
      <c r="HX558" s="9"/>
      <c r="HY558" s="9"/>
      <c r="HZ558" s="9"/>
      <c r="IA558" s="9"/>
      <c r="IB558" s="9"/>
      <c r="IC558" s="9"/>
      <c r="ID558" s="9"/>
      <c r="IE558" s="9"/>
      <c r="IF558" s="9"/>
      <c r="IG558" s="9"/>
      <c r="IH558" s="9"/>
      <c r="II558" s="9"/>
      <c r="IJ558" s="9"/>
      <c r="IK558" s="9"/>
      <c r="IL558" s="9"/>
      <c r="IM558" s="9"/>
      <c r="IN558" s="9"/>
      <c r="IO558" s="9"/>
      <c r="IP558" s="9"/>
      <c r="IQ558" s="9"/>
      <c r="IR558" s="9"/>
      <c r="IS558" s="9"/>
      <c r="IT558" s="9"/>
      <c r="IU558" s="9"/>
      <c r="IV558" s="9"/>
    </row>
    <row r="559" spans="1:256" outlineLevel="1">
      <c r="A559" s="16"/>
      <c r="B559" s="44"/>
      <c r="C559" s="20"/>
      <c r="D559" s="20"/>
      <c r="E559" s="20"/>
      <c r="F559" s="21"/>
      <c r="G559" s="21"/>
      <c r="H559" s="21"/>
      <c r="I559" s="21"/>
      <c r="J559" s="21"/>
      <c r="K559" s="21"/>
      <c r="L559" s="21"/>
      <c r="M559" s="21"/>
      <c r="N559" s="21"/>
      <c r="O559" s="21"/>
      <c r="P559" s="21"/>
      <c r="Q559" s="21"/>
      <c r="R559" s="20"/>
      <c r="S559" s="22">
        <f t="shared" si="37"/>
        <v>0</v>
      </c>
      <c r="T559" s="22">
        <f>COUNTIF($V$4:V559,V559)</f>
        <v>288</v>
      </c>
      <c r="U559" s="22" t="str">
        <f>IF(T559=1,COUNTIF($T$4:T559,1),"")</f>
        <v/>
      </c>
      <c r="V559" s="23" t="str">
        <f t="shared" si="38"/>
        <v/>
      </c>
      <c r="W559" s="23">
        <f t="shared" si="36"/>
        <v>0</v>
      </c>
      <c r="X559" s="24"/>
      <c r="Y559" s="23"/>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c r="EB559" s="9"/>
      <c r="EC559" s="9"/>
      <c r="ED559" s="9"/>
      <c r="EE559" s="9"/>
      <c r="EF559" s="9"/>
      <c r="EG559" s="9"/>
      <c r="EH559" s="9"/>
      <c r="EI559" s="9"/>
      <c r="EJ559" s="9"/>
      <c r="EK559" s="9"/>
      <c r="EL559" s="9"/>
      <c r="EM559" s="9"/>
      <c r="EN559" s="9"/>
      <c r="EO559" s="9"/>
      <c r="EP559" s="9"/>
      <c r="EQ559" s="9"/>
      <c r="ER559" s="9"/>
      <c r="ES559" s="9"/>
      <c r="ET559" s="9"/>
      <c r="EU559" s="9"/>
      <c r="EV559" s="9"/>
      <c r="EW559" s="9"/>
      <c r="EX559" s="9"/>
      <c r="EY559" s="9"/>
      <c r="EZ559" s="9"/>
      <c r="FA559" s="9"/>
      <c r="FB559" s="9"/>
      <c r="FC559" s="9"/>
      <c r="FD559" s="9"/>
      <c r="FE559" s="9"/>
      <c r="FF559" s="9"/>
      <c r="FG559" s="9"/>
      <c r="FH559" s="9"/>
      <c r="FI559" s="9"/>
      <c r="FJ559" s="9"/>
      <c r="FK559" s="9"/>
      <c r="FL559" s="9"/>
      <c r="FM559" s="9"/>
      <c r="FN559" s="9"/>
      <c r="FO559" s="9"/>
      <c r="FP559" s="9"/>
      <c r="FQ559" s="9"/>
      <c r="FR559" s="9"/>
      <c r="FS559" s="9"/>
      <c r="FT559" s="9"/>
      <c r="FU559" s="9"/>
      <c r="FV559" s="9"/>
      <c r="FW559" s="9"/>
      <c r="FX559" s="9"/>
      <c r="FY559" s="9"/>
      <c r="FZ559" s="9"/>
      <c r="GA559" s="9"/>
      <c r="GB559" s="9"/>
      <c r="GC559" s="9"/>
      <c r="GD559" s="9"/>
      <c r="GE559" s="9"/>
      <c r="GF559" s="9"/>
      <c r="GG559" s="9"/>
      <c r="GH559" s="9"/>
      <c r="GI559" s="9"/>
      <c r="GJ559" s="9"/>
      <c r="GK559" s="9"/>
      <c r="GL559" s="9"/>
      <c r="GM559" s="9"/>
      <c r="GN559" s="9"/>
      <c r="GO559" s="9"/>
      <c r="GP559" s="9"/>
      <c r="GQ559" s="9"/>
      <c r="GR559" s="9"/>
      <c r="GS559" s="9"/>
      <c r="GT559" s="9"/>
      <c r="GU559" s="9"/>
      <c r="GV559" s="9"/>
      <c r="GW559" s="9"/>
      <c r="GX559" s="9"/>
      <c r="GY559" s="9"/>
      <c r="GZ559" s="9"/>
      <c r="HA559" s="9"/>
      <c r="HB559" s="9"/>
      <c r="HC559" s="9"/>
      <c r="HD559" s="9"/>
      <c r="HE559" s="9"/>
      <c r="HF559" s="9"/>
      <c r="HG559" s="9"/>
      <c r="HH559" s="9"/>
      <c r="HI559" s="9"/>
      <c r="HJ559" s="9"/>
      <c r="HK559" s="9"/>
      <c r="HL559" s="9"/>
      <c r="HM559" s="9"/>
      <c r="HN559" s="9"/>
      <c r="HO559" s="9"/>
      <c r="HP559" s="9"/>
      <c r="HQ559" s="9"/>
      <c r="HR559" s="9"/>
      <c r="HS559" s="9"/>
      <c r="HT559" s="9"/>
      <c r="HU559" s="9"/>
      <c r="HV559" s="9"/>
      <c r="HW559" s="9"/>
      <c r="HX559" s="9"/>
      <c r="HY559" s="9"/>
      <c r="HZ559" s="9"/>
      <c r="IA559" s="9"/>
      <c r="IB559" s="9"/>
      <c r="IC559" s="9"/>
      <c r="ID559" s="9"/>
      <c r="IE559" s="9"/>
      <c r="IF559" s="9"/>
      <c r="IG559" s="9"/>
      <c r="IH559" s="9"/>
      <c r="II559" s="9"/>
      <c r="IJ559" s="9"/>
      <c r="IK559" s="9"/>
      <c r="IL559" s="9"/>
      <c r="IM559" s="9"/>
      <c r="IN559" s="9"/>
      <c r="IO559" s="9"/>
      <c r="IP559" s="9"/>
      <c r="IQ559" s="9"/>
      <c r="IR559" s="9"/>
      <c r="IS559" s="9"/>
      <c r="IT559" s="9"/>
      <c r="IU559" s="9"/>
      <c r="IV559" s="9"/>
    </row>
    <row r="560" spans="1:256" outlineLevel="1">
      <c r="A560" s="16"/>
      <c r="B560" s="44"/>
      <c r="C560" s="20"/>
      <c r="D560" s="20"/>
      <c r="E560" s="20"/>
      <c r="F560" s="21"/>
      <c r="G560" s="21"/>
      <c r="H560" s="21"/>
      <c r="I560" s="21"/>
      <c r="J560" s="21"/>
      <c r="K560" s="21"/>
      <c r="L560" s="21"/>
      <c r="M560" s="21"/>
      <c r="N560" s="21"/>
      <c r="O560" s="21"/>
      <c r="P560" s="21"/>
      <c r="Q560" s="21"/>
      <c r="R560" s="20"/>
      <c r="S560" s="22">
        <f t="shared" si="37"/>
        <v>0</v>
      </c>
      <c r="T560" s="22">
        <f>COUNTIF($V$4:V560,V560)</f>
        <v>289</v>
      </c>
      <c r="U560" s="22" t="str">
        <f>IF(T560=1,COUNTIF($T$4:T560,1),"")</f>
        <v/>
      </c>
      <c r="V560" s="23" t="str">
        <f t="shared" si="38"/>
        <v/>
      </c>
      <c r="W560" s="23">
        <f t="shared" si="36"/>
        <v>0</v>
      </c>
      <c r="X560" s="24"/>
      <c r="Y560" s="23"/>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c r="EB560" s="9"/>
      <c r="EC560" s="9"/>
      <c r="ED560" s="9"/>
      <c r="EE560" s="9"/>
      <c r="EF560" s="9"/>
      <c r="EG560" s="9"/>
      <c r="EH560" s="9"/>
      <c r="EI560" s="9"/>
      <c r="EJ560" s="9"/>
      <c r="EK560" s="9"/>
      <c r="EL560" s="9"/>
      <c r="EM560" s="9"/>
      <c r="EN560" s="9"/>
      <c r="EO560" s="9"/>
      <c r="EP560" s="9"/>
      <c r="EQ560" s="9"/>
      <c r="ER560" s="9"/>
      <c r="ES560" s="9"/>
      <c r="ET560" s="9"/>
      <c r="EU560" s="9"/>
      <c r="EV560" s="9"/>
      <c r="EW560" s="9"/>
      <c r="EX560" s="9"/>
      <c r="EY560" s="9"/>
      <c r="EZ560" s="9"/>
      <c r="FA560" s="9"/>
      <c r="FB560" s="9"/>
      <c r="FC560" s="9"/>
      <c r="FD560" s="9"/>
      <c r="FE560" s="9"/>
      <c r="FF560" s="9"/>
      <c r="FG560" s="9"/>
      <c r="FH560" s="9"/>
      <c r="FI560" s="9"/>
      <c r="FJ560" s="9"/>
      <c r="FK560" s="9"/>
      <c r="FL560" s="9"/>
      <c r="FM560" s="9"/>
      <c r="FN560" s="9"/>
      <c r="FO560" s="9"/>
      <c r="FP560" s="9"/>
      <c r="FQ560" s="9"/>
      <c r="FR560" s="9"/>
      <c r="FS560" s="9"/>
      <c r="FT560" s="9"/>
      <c r="FU560" s="9"/>
      <c r="FV560" s="9"/>
      <c r="FW560" s="9"/>
      <c r="FX560" s="9"/>
      <c r="FY560" s="9"/>
      <c r="FZ560" s="9"/>
      <c r="GA560" s="9"/>
      <c r="GB560" s="9"/>
      <c r="GC560" s="9"/>
      <c r="GD560" s="9"/>
      <c r="GE560" s="9"/>
      <c r="GF560" s="9"/>
      <c r="GG560" s="9"/>
      <c r="GH560" s="9"/>
      <c r="GI560" s="9"/>
      <c r="GJ560" s="9"/>
      <c r="GK560" s="9"/>
      <c r="GL560" s="9"/>
      <c r="GM560" s="9"/>
      <c r="GN560" s="9"/>
      <c r="GO560" s="9"/>
      <c r="GP560" s="9"/>
      <c r="GQ560" s="9"/>
      <c r="GR560" s="9"/>
      <c r="GS560" s="9"/>
      <c r="GT560" s="9"/>
      <c r="GU560" s="9"/>
      <c r="GV560" s="9"/>
      <c r="GW560" s="9"/>
      <c r="GX560" s="9"/>
      <c r="GY560" s="9"/>
      <c r="GZ560" s="9"/>
      <c r="HA560" s="9"/>
      <c r="HB560" s="9"/>
      <c r="HC560" s="9"/>
      <c r="HD560" s="9"/>
      <c r="HE560" s="9"/>
      <c r="HF560" s="9"/>
      <c r="HG560" s="9"/>
      <c r="HH560" s="9"/>
      <c r="HI560" s="9"/>
      <c r="HJ560" s="9"/>
      <c r="HK560" s="9"/>
      <c r="HL560" s="9"/>
      <c r="HM560" s="9"/>
      <c r="HN560" s="9"/>
      <c r="HO560" s="9"/>
      <c r="HP560" s="9"/>
      <c r="HQ560" s="9"/>
      <c r="HR560" s="9"/>
      <c r="HS560" s="9"/>
      <c r="HT560" s="9"/>
      <c r="HU560" s="9"/>
      <c r="HV560" s="9"/>
      <c r="HW560" s="9"/>
      <c r="HX560" s="9"/>
      <c r="HY560" s="9"/>
      <c r="HZ560" s="9"/>
      <c r="IA560" s="9"/>
      <c r="IB560" s="9"/>
      <c r="IC560" s="9"/>
      <c r="ID560" s="9"/>
      <c r="IE560" s="9"/>
      <c r="IF560" s="9"/>
      <c r="IG560" s="9"/>
      <c r="IH560" s="9"/>
      <c r="II560" s="9"/>
      <c r="IJ560" s="9"/>
      <c r="IK560" s="9"/>
      <c r="IL560" s="9"/>
      <c r="IM560" s="9"/>
      <c r="IN560" s="9"/>
      <c r="IO560" s="9"/>
      <c r="IP560" s="9"/>
      <c r="IQ560" s="9"/>
      <c r="IR560" s="9"/>
      <c r="IS560" s="9"/>
      <c r="IT560" s="9"/>
      <c r="IU560" s="9"/>
      <c r="IV560" s="9"/>
    </row>
    <row r="561" spans="1:256" outlineLevel="1">
      <c r="A561" s="16"/>
      <c r="B561" s="44"/>
      <c r="C561" s="20"/>
      <c r="D561" s="20"/>
      <c r="E561" s="20"/>
      <c r="F561" s="21"/>
      <c r="G561" s="21"/>
      <c r="H561" s="21"/>
      <c r="I561" s="21"/>
      <c r="J561" s="21"/>
      <c r="K561" s="21"/>
      <c r="L561" s="21"/>
      <c r="M561" s="21"/>
      <c r="N561" s="21"/>
      <c r="O561" s="21"/>
      <c r="P561" s="21"/>
      <c r="Q561" s="21"/>
      <c r="R561" s="20"/>
      <c r="S561" s="22">
        <f t="shared" si="37"/>
        <v>0</v>
      </c>
      <c r="T561" s="22">
        <f>COUNTIF($V$4:V561,V561)</f>
        <v>290</v>
      </c>
      <c r="U561" s="22" t="str">
        <f>IF(T561=1,COUNTIF($T$4:T561,1),"")</f>
        <v/>
      </c>
      <c r="V561" s="23" t="str">
        <f t="shared" si="38"/>
        <v/>
      </c>
      <c r="W561" s="23">
        <f t="shared" si="36"/>
        <v>0</v>
      </c>
      <c r="X561" s="24"/>
      <c r="Y561" s="23"/>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c r="EB561" s="9"/>
      <c r="EC561" s="9"/>
      <c r="ED561" s="9"/>
      <c r="EE561" s="9"/>
      <c r="EF561" s="9"/>
      <c r="EG561" s="9"/>
      <c r="EH561" s="9"/>
      <c r="EI561" s="9"/>
      <c r="EJ561" s="9"/>
      <c r="EK561" s="9"/>
      <c r="EL561" s="9"/>
      <c r="EM561" s="9"/>
      <c r="EN561" s="9"/>
      <c r="EO561" s="9"/>
      <c r="EP561" s="9"/>
      <c r="EQ561" s="9"/>
      <c r="ER561" s="9"/>
      <c r="ES561" s="9"/>
      <c r="ET561" s="9"/>
      <c r="EU561" s="9"/>
      <c r="EV561" s="9"/>
      <c r="EW561" s="9"/>
      <c r="EX561" s="9"/>
      <c r="EY561" s="9"/>
      <c r="EZ561" s="9"/>
      <c r="FA561" s="9"/>
      <c r="FB561" s="9"/>
      <c r="FC561" s="9"/>
      <c r="FD561" s="9"/>
      <c r="FE561" s="9"/>
      <c r="FF561" s="9"/>
      <c r="FG561" s="9"/>
      <c r="FH561" s="9"/>
      <c r="FI561" s="9"/>
      <c r="FJ561" s="9"/>
      <c r="FK561" s="9"/>
      <c r="FL561" s="9"/>
      <c r="FM561" s="9"/>
      <c r="FN561" s="9"/>
      <c r="FO561" s="9"/>
      <c r="FP561" s="9"/>
      <c r="FQ561" s="9"/>
      <c r="FR561" s="9"/>
      <c r="FS561" s="9"/>
      <c r="FT561" s="9"/>
      <c r="FU561" s="9"/>
      <c r="FV561" s="9"/>
      <c r="FW561" s="9"/>
      <c r="FX561" s="9"/>
      <c r="FY561" s="9"/>
      <c r="FZ561" s="9"/>
      <c r="GA561" s="9"/>
      <c r="GB561" s="9"/>
      <c r="GC561" s="9"/>
      <c r="GD561" s="9"/>
      <c r="GE561" s="9"/>
      <c r="GF561" s="9"/>
      <c r="GG561" s="9"/>
      <c r="GH561" s="9"/>
      <c r="GI561" s="9"/>
      <c r="GJ561" s="9"/>
      <c r="GK561" s="9"/>
      <c r="GL561" s="9"/>
      <c r="GM561" s="9"/>
      <c r="GN561" s="9"/>
      <c r="GO561" s="9"/>
      <c r="GP561" s="9"/>
      <c r="GQ561" s="9"/>
      <c r="GR561" s="9"/>
      <c r="GS561" s="9"/>
      <c r="GT561" s="9"/>
      <c r="GU561" s="9"/>
      <c r="GV561" s="9"/>
      <c r="GW561" s="9"/>
      <c r="GX561" s="9"/>
      <c r="GY561" s="9"/>
      <c r="GZ561" s="9"/>
      <c r="HA561" s="9"/>
      <c r="HB561" s="9"/>
      <c r="HC561" s="9"/>
      <c r="HD561" s="9"/>
      <c r="HE561" s="9"/>
      <c r="HF561" s="9"/>
      <c r="HG561" s="9"/>
      <c r="HH561" s="9"/>
      <c r="HI561" s="9"/>
      <c r="HJ561" s="9"/>
      <c r="HK561" s="9"/>
      <c r="HL561" s="9"/>
      <c r="HM561" s="9"/>
      <c r="HN561" s="9"/>
      <c r="HO561" s="9"/>
      <c r="HP561" s="9"/>
      <c r="HQ561" s="9"/>
      <c r="HR561" s="9"/>
      <c r="HS561" s="9"/>
      <c r="HT561" s="9"/>
      <c r="HU561" s="9"/>
      <c r="HV561" s="9"/>
      <c r="HW561" s="9"/>
      <c r="HX561" s="9"/>
      <c r="HY561" s="9"/>
      <c r="HZ561" s="9"/>
      <c r="IA561" s="9"/>
      <c r="IB561" s="9"/>
      <c r="IC561" s="9"/>
      <c r="ID561" s="9"/>
      <c r="IE561" s="9"/>
      <c r="IF561" s="9"/>
      <c r="IG561" s="9"/>
      <c r="IH561" s="9"/>
      <c r="II561" s="9"/>
      <c r="IJ561" s="9"/>
      <c r="IK561" s="9"/>
      <c r="IL561" s="9"/>
      <c r="IM561" s="9"/>
      <c r="IN561" s="9"/>
      <c r="IO561" s="9"/>
      <c r="IP561" s="9"/>
      <c r="IQ561" s="9"/>
      <c r="IR561" s="9"/>
      <c r="IS561" s="9"/>
      <c r="IT561" s="9"/>
      <c r="IU561" s="9"/>
      <c r="IV561" s="9"/>
    </row>
    <row r="562" spans="1:256" outlineLevel="1">
      <c r="A562" s="16"/>
      <c r="B562" s="44"/>
      <c r="C562" s="20"/>
      <c r="D562" s="20"/>
      <c r="E562" s="20"/>
      <c r="F562" s="21"/>
      <c r="G562" s="21"/>
      <c r="H562" s="21"/>
      <c r="I562" s="21"/>
      <c r="J562" s="21"/>
      <c r="K562" s="21"/>
      <c r="L562" s="21"/>
      <c r="M562" s="21"/>
      <c r="N562" s="21"/>
      <c r="O562" s="21"/>
      <c r="P562" s="21"/>
      <c r="Q562" s="21"/>
      <c r="R562" s="20"/>
      <c r="S562" s="22">
        <f t="shared" si="37"/>
        <v>0</v>
      </c>
      <c r="T562" s="22">
        <f>COUNTIF($V$4:V562,V562)</f>
        <v>291</v>
      </c>
      <c r="U562" s="22" t="str">
        <f>IF(T562=1,COUNTIF($T$4:T562,1),"")</f>
        <v/>
      </c>
      <c r="V562" s="23" t="str">
        <f t="shared" si="38"/>
        <v/>
      </c>
      <c r="W562" s="23">
        <f t="shared" si="36"/>
        <v>0</v>
      </c>
      <c r="X562" s="24"/>
      <c r="Y562" s="23"/>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c r="EB562" s="9"/>
      <c r="EC562" s="9"/>
      <c r="ED562" s="9"/>
      <c r="EE562" s="9"/>
      <c r="EF562" s="9"/>
      <c r="EG562" s="9"/>
      <c r="EH562" s="9"/>
      <c r="EI562" s="9"/>
      <c r="EJ562" s="9"/>
      <c r="EK562" s="9"/>
      <c r="EL562" s="9"/>
      <c r="EM562" s="9"/>
      <c r="EN562" s="9"/>
      <c r="EO562" s="9"/>
      <c r="EP562" s="9"/>
      <c r="EQ562" s="9"/>
      <c r="ER562" s="9"/>
      <c r="ES562" s="9"/>
      <c r="ET562" s="9"/>
      <c r="EU562" s="9"/>
      <c r="EV562" s="9"/>
      <c r="EW562" s="9"/>
      <c r="EX562" s="9"/>
      <c r="EY562" s="9"/>
      <c r="EZ562" s="9"/>
      <c r="FA562" s="9"/>
      <c r="FB562" s="9"/>
      <c r="FC562" s="9"/>
      <c r="FD562" s="9"/>
      <c r="FE562" s="9"/>
      <c r="FF562" s="9"/>
      <c r="FG562" s="9"/>
      <c r="FH562" s="9"/>
      <c r="FI562" s="9"/>
      <c r="FJ562" s="9"/>
      <c r="FK562" s="9"/>
      <c r="FL562" s="9"/>
      <c r="FM562" s="9"/>
      <c r="FN562" s="9"/>
      <c r="FO562" s="9"/>
      <c r="FP562" s="9"/>
      <c r="FQ562" s="9"/>
      <c r="FR562" s="9"/>
      <c r="FS562" s="9"/>
      <c r="FT562" s="9"/>
      <c r="FU562" s="9"/>
      <c r="FV562" s="9"/>
      <c r="FW562" s="9"/>
      <c r="FX562" s="9"/>
      <c r="FY562" s="9"/>
      <c r="FZ562" s="9"/>
      <c r="GA562" s="9"/>
      <c r="GB562" s="9"/>
      <c r="GC562" s="9"/>
      <c r="GD562" s="9"/>
      <c r="GE562" s="9"/>
      <c r="GF562" s="9"/>
      <c r="GG562" s="9"/>
      <c r="GH562" s="9"/>
      <c r="GI562" s="9"/>
      <c r="GJ562" s="9"/>
      <c r="GK562" s="9"/>
      <c r="GL562" s="9"/>
      <c r="GM562" s="9"/>
      <c r="GN562" s="9"/>
      <c r="GO562" s="9"/>
      <c r="GP562" s="9"/>
      <c r="GQ562" s="9"/>
      <c r="GR562" s="9"/>
      <c r="GS562" s="9"/>
      <c r="GT562" s="9"/>
      <c r="GU562" s="9"/>
      <c r="GV562" s="9"/>
      <c r="GW562" s="9"/>
      <c r="GX562" s="9"/>
      <c r="GY562" s="9"/>
      <c r="GZ562" s="9"/>
      <c r="HA562" s="9"/>
      <c r="HB562" s="9"/>
      <c r="HC562" s="9"/>
      <c r="HD562" s="9"/>
      <c r="HE562" s="9"/>
      <c r="HF562" s="9"/>
      <c r="HG562" s="9"/>
      <c r="HH562" s="9"/>
      <c r="HI562" s="9"/>
      <c r="HJ562" s="9"/>
      <c r="HK562" s="9"/>
      <c r="HL562" s="9"/>
      <c r="HM562" s="9"/>
      <c r="HN562" s="9"/>
      <c r="HO562" s="9"/>
      <c r="HP562" s="9"/>
      <c r="HQ562" s="9"/>
      <c r="HR562" s="9"/>
      <c r="HS562" s="9"/>
      <c r="HT562" s="9"/>
      <c r="HU562" s="9"/>
      <c r="HV562" s="9"/>
      <c r="HW562" s="9"/>
      <c r="HX562" s="9"/>
      <c r="HY562" s="9"/>
      <c r="HZ562" s="9"/>
      <c r="IA562" s="9"/>
      <c r="IB562" s="9"/>
      <c r="IC562" s="9"/>
      <c r="ID562" s="9"/>
      <c r="IE562" s="9"/>
      <c r="IF562" s="9"/>
      <c r="IG562" s="9"/>
      <c r="IH562" s="9"/>
      <c r="II562" s="9"/>
      <c r="IJ562" s="9"/>
      <c r="IK562" s="9"/>
      <c r="IL562" s="9"/>
      <c r="IM562" s="9"/>
      <c r="IN562" s="9"/>
      <c r="IO562" s="9"/>
      <c r="IP562" s="9"/>
      <c r="IQ562" s="9"/>
      <c r="IR562" s="9"/>
      <c r="IS562" s="9"/>
      <c r="IT562" s="9"/>
      <c r="IU562" s="9"/>
      <c r="IV562" s="9"/>
    </row>
    <row r="563" spans="1:256" outlineLevel="1">
      <c r="A563" s="16"/>
      <c r="B563" s="44"/>
      <c r="C563" s="20"/>
      <c r="D563" s="20"/>
      <c r="E563" s="20"/>
      <c r="F563" s="21"/>
      <c r="G563" s="21"/>
      <c r="H563" s="21"/>
      <c r="I563" s="21"/>
      <c r="J563" s="21"/>
      <c r="K563" s="21"/>
      <c r="L563" s="21"/>
      <c r="M563" s="21"/>
      <c r="N563" s="21"/>
      <c r="O563" s="21"/>
      <c r="P563" s="21"/>
      <c r="Q563" s="21"/>
      <c r="R563" s="20"/>
      <c r="S563" s="22">
        <f t="shared" si="37"/>
        <v>0</v>
      </c>
      <c r="T563" s="22">
        <f>COUNTIF($V$4:V563,V563)</f>
        <v>292</v>
      </c>
      <c r="U563" s="22" t="str">
        <f>IF(T563=1,COUNTIF($T$4:T563,1),"")</f>
        <v/>
      </c>
      <c r="V563" s="23" t="str">
        <f t="shared" si="38"/>
        <v/>
      </c>
      <c r="W563" s="23">
        <f t="shared" si="36"/>
        <v>0</v>
      </c>
      <c r="X563" s="24"/>
      <c r="Y563" s="23"/>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c r="EB563" s="9"/>
      <c r="EC563" s="9"/>
      <c r="ED563" s="9"/>
      <c r="EE563" s="9"/>
      <c r="EF563" s="9"/>
      <c r="EG563" s="9"/>
      <c r="EH563" s="9"/>
      <c r="EI563" s="9"/>
      <c r="EJ563" s="9"/>
      <c r="EK563" s="9"/>
      <c r="EL563" s="9"/>
      <c r="EM563" s="9"/>
      <c r="EN563" s="9"/>
      <c r="EO563" s="9"/>
      <c r="EP563" s="9"/>
      <c r="EQ563" s="9"/>
      <c r="ER563" s="9"/>
      <c r="ES563" s="9"/>
      <c r="ET563" s="9"/>
      <c r="EU563" s="9"/>
      <c r="EV563" s="9"/>
      <c r="EW563" s="9"/>
      <c r="EX563" s="9"/>
      <c r="EY563" s="9"/>
      <c r="EZ563" s="9"/>
      <c r="FA563" s="9"/>
      <c r="FB563" s="9"/>
      <c r="FC563" s="9"/>
      <c r="FD563" s="9"/>
      <c r="FE563" s="9"/>
      <c r="FF563" s="9"/>
      <c r="FG563" s="9"/>
      <c r="FH563" s="9"/>
      <c r="FI563" s="9"/>
      <c r="FJ563" s="9"/>
      <c r="FK563" s="9"/>
      <c r="FL563" s="9"/>
      <c r="FM563" s="9"/>
      <c r="FN563" s="9"/>
      <c r="FO563" s="9"/>
      <c r="FP563" s="9"/>
      <c r="FQ563" s="9"/>
      <c r="FR563" s="9"/>
      <c r="FS563" s="9"/>
      <c r="FT563" s="9"/>
      <c r="FU563" s="9"/>
      <c r="FV563" s="9"/>
      <c r="FW563" s="9"/>
      <c r="FX563" s="9"/>
      <c r="FY563" s="9"/>
      <c r="FZ563" s="9"/>
      <c r="GA563" s="9"/>
      <c r="GB563" s="9"/>
      <c r="GC563" s="9"/>
      <c r="GD563" s="9"/>
      <c r="GE563" s="9"/>
      <c r="GF563" s="9"/>
      <c r="GG563" s="9"/>
      <c r="GH563" s="9"/>
      <c r="GI563" s="9"/>
      <c r="GJ563" s="9"/>
      <c r="GK563" s="9"/>
      <c r="GL563" s="9"/>
      <c r="GM563" s="9"/>
      <c r="GN563" s="9"/>
      <c r="GO563" s="9"/>
      <c r="GP563" s="9"/>
      <c r="GQ563" s="9"/>
      <c r="GR563" s="9"/>
      <c r="GS563" s="9"/>
      <c r="GT563" s="9"/>
      <c r="GU563" s="9"/>
      <c r="GV563" s="9"/>
      <c r="GW563" s="9"/>
      <c r="GX563" s="9"/>
      <c r="GY563" s="9"/>
      <c r="GZ563" s="9"/>
      <c r="HA563" s="9"/>
      <c r="HB563" s="9"/>
      <c r="HC563" s="9"/>
      <c r="HD563" s="9"/>
      <c r="HE563" s="9"/>
      <c r="HF563" s="9"/>
      <c r="HG563" s="9"/>
      <c r="HH563" s="9"/>
      <c r="HI563" s="9"/>
      <c r="HJ563" s="9"/>
      <c r="HK563" s="9"/>
      <c r="HL563" s="9"/>
      <c r="HM563" s="9"/>
      <c r="HN563" s="9"/>
      <c r="HO563" s="9"/>
      <c r="HP563" s="9"/>
      <c r="HQ563" s="9"/>
      <c r="HR563" s="9"/>
      <c r="HS563" s="9"/>
      <c r="HT563" s="9"/>
      <c r="HU563" s="9"/>
      <c r="HV563" s="9"/>
      <c r="HW563" s="9"/>
      <c r="HX563" s="9"/>
      <c r="HY563" s="9"/>
      <c r="HZ563" s="9"/>
      <c r="IA563" s="9"/>
      <c r="IB563" s="9"/>
      <c r="IC563" s="9"/>
      <c r="ID563" s="9"/>
      <c r="IE563" s="9"/>
      <c r="IF563" s="9"/>
      <c r="IG563" s="9"/>
      <c r="IH563" s="9"/>
      <c r="II563" s="9"/>
      <c r="IJ563" s="9"/>
      <c r="IK563" s="9"/>
      <c r="IL563" s="9"/>
      <c r="IM563" s="9"/>
      <c r="IN563" s="9"/>
      <c r="IO563" s="9"/>
      <c r="IP563" s="9"/>
      <c r="IQ563" s="9"/>
      <c r="IR563" s="9"/>
      <c r="IS563" s="9"/>
      <c r="IT563" s="9"/>
      <c r="IU563" s="9"/>
      <c r="IV563" s="9"/>
    </row>
    <row r="564" spans="1:256" outlineLevel="1">
      <c r="A564" s="16"/>
      <c r="B564" s="44"/>
      <c r="C564" s="20"/>
      <c r="D564" s="20"/>
      <c r="E564" s="20"/>
      <c r="F564" s="21"/>
      <c r="G564" s="21"/>
      <c r="H564" s="21"/>
      <c r="I564" s="21"/>
      <c r="J564" s="21"/>
      <c r="K564" s="21"/>
      <c r="L564" s="21"/>
      <c r="M564" s="21"/>
      <c r="N564" s="21"/>
      <c r="O564" s="21"/>
      <c r="P564" s="21"/>
      <c r="Q564" s="21"/>
      <c r="R564" s="20"/>
      <c r="S564" s="22">
        <f t="shared" si="37"/>
        <v>0</v>
      </c>
      <c r="T564" s="22">
        <f>COUNTIF($V$4:V564,V564)</f>
        <v>293</v>
      </c>
      <c r="U564" s="22" t="str">
        <f>IF(T564=1,COUNTIF($T$4:T564,1),"")</f>
        <v/>
      </c>
      <c r="V564" s="23" t="str">
        <f t="shared" si="38"/>
        <v/>
      </c>
      <c r="W564" s="23">
        <f t="shared" si="36"/>
        <v>0</v>
      </c>
      <c r="X564" s="24"/>
      <c r="Y564" s="23"/>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c r="EB564" s="9"/>
      <c r="EC564" s="9"/>
      <c r="ED564" s="9"/>
      <c r="EE564" s="9"/>
      <c r="EF564" s="9"/>
      <c r="EG564" s="9"/>
      <c r="EH564" s="9"/>
      <c r="EI564" s="9"/>
      <c r="EJ564" s="9"/>
      <c r="EK564" s="9"/>
      <c r="EL564" s="9"/>
      <c r="EM564" s="9"/>
      <c r="EN564" s="9"/>
      <c r="EO564" s="9"/>
      <c r="EP564" s="9"/>
      <c r="EQ564" s="9"/>
      <c r="ER564" s="9"/>
      <c r="ES564" s="9"/>
      <c r="ET564" s="9"/>
      <c r="EU564" s="9"/>
      <c r="EV564" s="9"/>
      <c r="EW564" s="9"/>
      <c r="EX564" s="9"/>
      <c r="EY564" s="9"/>
      <c r="EZ564" s="9"/>
      <c r="FA564" s="9"/>
      <c r="FB564" s="9"/>
      <c r="FC564" s="9"/>
      <c r="FD564" s="9"/>
      <c r="FE564" s="9"/>
      <c r="FF564" s="9"/>
      <c r="FG564" s="9"/>
      <c r="FH564" s="9"/>
      <c r="FI564" s="9"/>
      <c r="FJ564" s="9"/>
      <c r="FK564" s="9"/>
      <c r="FL564" s="9"/>
      <c r="FM564" s="9"/>
      <c r="FN564" s="9"/>
      <c r="FO564" s="9"/>
      <c r="FP564" s="9"/>
      <c r="FQ564" s="9"/>
      <c r="FR564" s="9"/>
      <c r="FS564" s="9"/>
      <c r="FT564" s="9"/>
      <c r="FU564" s="9"/>
      <c r="FV564" s="9"/>
      <c r="FW564" s="9"/>
      <c r="FX564" s="9"/>
      <c r="FY564" s="9"/>
      <c r="FZ564" s="9"/>
      <c r="GA564" s="9"/>
      <c r="GB564" s="9"/>
      <c r="GC564" s="9"/>
      <c r="GD564" s="9"/>
      <c r="GE564" s="9"/>
      <c r="GF564" s="9"/>
      <c r="GG564" s="9"/>
      <c r="GH564" s="9"/>
      <c r="GI564" s="9"/>
      <c r="GJ564" s="9"/>
      <c r="GK564" s="9"/>
      <c r="GL564" s="9"/>
      <c r="GM564" s="9"/>
      <c r="GN564" s="9"/>
      <c r="GO564" s="9"/>
      <c r="GP564" s="9"/>
      <c r="GQ564" s="9"/>
      <c r="GR564" s="9"/>
      <c r="GS564" s="9"/>
      <c r="GT564" s="9"/>
      <c r="GU564" s="9"/>
      <c r="GV564" s="9"/>
      <c r="GW564" s="9"/>
      <c r="GX564" s="9"/>
      <c r="GY564" s="9"/>
      <c r="GZ564" s="9"/>
      <c r="HA564" s="9"/>
      <c r="HB564" s="9"/>
      <c r="HC564" s="9"/>
      <c r="HD564" s="9"/>
      <c r="HE564" s="9"/>
      <c r="HF564" s="9"/>
      <c r="HG564" s="9"/>
      <c r="HH564" s="9"/>
      <c r="HI564" s="9"/>
      <c r="HJ564" s="9"/>
      <c r="HK564" s="9"/>
      <c r="HL564" s="9"/>
      <c r="HM564" s="9"/>
      <c r="HN564" s="9"/>
      <c r="HO564" s="9"/>
      <c r="HP564" s="9"/>
      <c r="HQ564" s="9"/>
      <c r="HR564" s="9"/>
      <c r="HS564" s="9"/>
      <c r="HT564" s="9"/>
      <c r="HU564" s="9"/>
      <c r="HV564" s="9"/>
      <c r="HW564" s="9"/>
      <c r="HX564" s="9"/>
      <c r="HY564" s="9"/>
      <c r="HZ564" s="9"/>
      <c r="IA564" s="9"/>
      <c r="IB564" s="9"/>
      <c r="IC564" s="9"/>
      <c r="ID564" s="9"/>
      <c r="IE564" s="9"/>
      <c r="IF564" s="9"/>
      <c r="IG564" s="9"/>
      <c r="IH564" s="9"/>
      <c r="II564" s="9"/>
      <c r="IJ564" s="9"/>
      <c r="IK564" s="9"/>
      <c r="IL564" s="9"/>
      <c r="IM564" s="9"/>
      <c r="IN564" s="9"/>
      <c r="IO564" s="9"/>
      <c r="IP564" s="9"/>
      <c r="IQ564" s="9"/>
      <c r="IR564" s="9"/>
      <c r="IS564" s="9"/>
      <c r="IT564" s="9"/>
      <c r="IU564" s="9"/>
      <c r="IV564" s="9"/>
    </row>
    <row r="565" spans="1:256" outlineLevel="1">
      <c r="A565" s="16"/>
      <c r="B565" s="44"/>
      <c r="C565" s="20"/>
      <c r="D565" s="20"/>
      <c r="E565" s="20"/>
      <c r="F565" s="21"/>
      <c r="G565" s="21"/>
      <c r="H565" s="21"/>
      <c r="I565" s="21"/>
      <c r="J565" s="21"/>
      <c r="K565" s="21"/>
      <c r="L565" s="21"/>
      <c r="M565" s="21"/>
      <c r="N565" s="21"/>
      <c r="O565" s="21"/>
      <c r="P565" s="21"/>
      <c r="Q565" s="21"/>
      <c r="R565" s="20"/>
      <c r="S565" s="22">
        <f t="shared" si="37"/>
        <v>0</v>
      </c>
      <c r="T565" s="22">
        <f>COUNTIF($V$4:V565,V565)</f>
        <v>294</v>
      </c>
      <c r="U565" s="22" t="str">
        <f>IF(T565=1,COUNTIF($T$4:T565,1),"")</f>
        <v/>
      </c>
      <c r="V565" s="23" t="str">
        <f t="shared" si="38"/>
        <v/>
      </c>
      <c r="W565" s="23">
        <f t="shared" si="36"/>
        <v>0</v>
      </c>
      <c r="X565" s="24"/>
      <c r="Y565" s="23"/>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c r="EB565" s="9"/>
      <c r="EC565" s="9"/>
      <c r="ED565" s="9"/>
      <c r="EE565" s="9"/>
      <c r="EF565" s="9"/>
      <c r="EG565" s="9"/>
      <c r="EH565" s="9"/>
      <c r="EI565" s="9"/>
      <c r="EJ565" s="9"/>
      <c r="EK565" s="9"/>
      <c r="EL565" s="9"/>
      <c r="EM565" s="9"/>
      <c r="EN565" s="9"/>
      <c r="EO565" s="9"/>
      <c r="EP565" s="9"/>
      <c r="EQ565" s="9"/>
      <c r="ER565" s="9"/>
      <c r="ES565" s="9"/>
      <c r="ET565" s="9"/>
      <c r="EU565" s="9"/>
      <c r="EV565" s="9"/>
      <c r="EW565" s="9"/>
      <c r="EX565" s="9"/>
      <c r="EY565" s="9"/>
      <c r="EZ565" s="9"/>
      <c r="FA565" s="9"/>
      <c r="FB565" s="9"/>
      <c r="FC565" s="9"/>
      <c r="FD565" s="9"/>
      <c r="FE565" s="9"/>
      <c r="FF565" s="9"/>
      <c r="FG565" s="9"/>
      <c r="FH565" s="9"/>
      <c r="FI565" s="9"/>
      <c r="FJ565" s="9"/>
      <c r="FK565" s="9"/>
      <c r="FL565" s="9"/>
      <c r="FM565" s="9"/>
      <c r="FN565" s="9"/>
      <c r="FO565" s="9"/>
      <c r="FP565" s="9"/>
      <c r="FQ565" s="9"/>
      <c r="FR565" s="9"/>
      <c r="FS565" s="9"/>
      <c r="FT565" s="9"/>
      <c r="FU565" s="9"/>
      <c r="FV565" s="9"/>
      <c r="FW565" s="9"/>
      <c r="FX565" s="9"/>
      <c r="FY565" s="9"/>
      <c r="FZ565" s="9"/>
      <c r="GA565" s="9"/>
      <c r="GB565" s="9"/>
      <c r="GC565" s="9"/>
      <c r="GD565" s="9"/>
      <c r="GE565" s="9"/>
      <c r="GF565" s="9"/>
      <c r="GG565" s="9"/>
      <c r="GH565" s="9"/>
      <c r="GI565" s="9"/>
      <c r="GJ565" s="9"/>
      <c r="GK565" s="9"/>
      <c r="GL565" s="9"/>
      <c r="GM565" s="9"/>
      <c r="GN565" s="9"/>
      <c r="GO565" s="9"/>
      <c r="GP565" s="9"/>
      <c r="GQ565" s="9"/>
      <c r="GR565" s="9"/>
      <c r="GS565" s="9"/>
      <c r="GT565" s="9"/>
      <c r="GU565" s="9"/>
      <c r="GV565" s="9"/>
      <c r="GW565" s="9"/>
      <c r="GX565" s="9"/>
      <c r="GY565" s="9"/>
      <c r="GZ565" s="9"/>
      <c r="HA565" s="9"/>
      <c r="HB565" s="9"/>
      <c r="HC565" s="9"/>
      <c r="HD565" s="9"/>
      <c r="HE565" s="9"/>
      <c r="HF565" s="9"/>
      <c r="HG565" s="9"/>
      <c r="HH565" s="9"/>
      <c r="HI565" s="9"/>
      <c r="HJ565" s="9"/>
      <c r="HK565" s="9"/>
      <c r="HL565" s="9"/>
      <c r="HM565" s="9"/>
      <c r="HN565" s="9"/>
      <c r="HO565" s="9"/>
      <c r="HP565" s="9"/>
      <c r="HQ565" s="9"/>
      <c r="HR565" s="9"/>
      <c r="HS565" s="9"/>
      <c r="HT565" s="9"/>
      <c r="HU565" s="9"/>
      <c r="HV565" s="9"/>
      <c r="HW565" s="9"/>
      <c r="HX565" s="9"/>
      <c r="HY565" s="9"/>
      <c r="HZ565" s="9"/>
      <c r="IA565" s="9"/>
      <c r="IB565" s="9"/>
      <c r="IC565" s="9"/>
      <c r="ID565" s="9"/>
      <c r="IE565" s="9"/>
      <c r="IF565" s="9"/>
      <c r="IG565" s="9"/>
      <c r="IH565" s="9"/>
      <c r="II565" s="9"/>
      <c r="IJ565" s="9"/>
      <c r="IK565" s="9"/>
      <c r="IL565" s="9"/>
      <c r="IM565" s="9"/>
      <c r="IN565" s="9"/>
      <c r="IO565" s="9"/>
      <c r="IP565" s="9"/>
      <c r="IQ565" s="9"/>
      <c r="IR565" s="9"/>
      <c r="IS565" s="9"/>
      <c r="IT565" s="9"/>
      <c r="IU565" s="9"/>
      <c r="IV565" s="9"/>
    </row>
    <row r="566" spans="1:256" outlineLevel="1">
      <c r="A566" s="16"/>
      <c r="B566" s="44"/>
      <c r="C566" s="20"/>
      <c r="D566" s="20"/>
      <c r="E566" s="20"/>
      <c r="F566" s="21"/>
      <c r="G566" s="21"/>
      <c r="H566" s="21"/>
      <c r="I566" s="21"/>
      <c r="J566" s="21"/>
      <c r="K566" s="21"/>
      <c r="L566" s="21"/>
      <c r="M566" s="21"/>
      <c r="N566" s="21"/>
      <c r="O566" s="21"/>
      <c r="P566" s="21"/>
      <c r="Q566" s="21"/>
      <c r="R566" s="20"/>
      <c r="S566" s="22">
        <f t="shared" si="37"/>
        <v>0</v>
      </c>
      <c r="T566" s="22">
        <f>COUNTIF($V$4:V566,V566)</f>
        <v>295</v>
      </c>
      <c r="U566" s="22" t="str">
        <f>IF(T566=1,COUNTIF($T$4:T566,1),"")</f>
        <v/>
      </c>
      <c r="V566" s="23" t="str">
        <f t="shared" si="38"/>
        <v/>
      </c>
      <c r="W566" s="23">
        <f t="shared" si="36"/>
        <v>0</v>
      </c>
      <c r="X566" s="24"/>
      <c r="Y566" s="23"/>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c r="EB566" s="9"/>
      <c r="EC566" s="9"/>
      <c r="ED566" s="9"/>
      <c r="EE566" s="9"/>
      <c r="EF566" s="9"/>
      <c r="EG566" s="9"/>
      <c r="EH566" s="9"/>
      <c r="EI566" s="9"/>
      <c r="EJ566" s="9"/>
      <c r="EK566" s="9"/>
      <c r="EL566" s="9"/>
      <c r="EM566" s="9"/>
      <c r="EN566" s="9"/>
      <c r="EO566" s="9"/>
      <c r="EP566" s="9"/>
      <c r="EQ566" s="9"/>
      <c r="ER566" s="9"/>
      <c r="ES566" s="9"/>
      <c r="ET566" s="9"/>
      <c r="EU566" s="9"/>
      <c r="EV566" s="9"/>
      <c r="EW566" s="9"/>
      <c r="EX566" s="9"/>
      <c r="EY566" s="9"/>
      <c r="EZ566" s="9"/>
      <c r="FA566" s="9"/>
      <c r="FB566" s="9"/>
      <c r="FC566" s="9"/>
      <c r="FD566" s="9"/>
      <c r="FE566" s="9"/>
      <c r="FF566" s="9"/>
      <c r="FG566" s="9"/>
      <c r="FH566" s="9"/>
      <c r="FI566" s="9"/>
      <c r="FJ566" s="9"/>
      <c r="FK566" s="9"/>
      <c r="FL566" s="9"/>
      <c r="FM566" s="9"/>
      <c r="FN566" s="9"/>
      <c r="FO566" s="9"/>
      <c r="FP566" s="9"/>
      <c r="FQ566" s="9"/>
      <c r="FR566" s="9"/>
      <c r="FS566" s="9"/>
      <c r="FT566" s="9"/>
      <c r="FU566" s="9"/>
      <c r="FV566" s="9"/>
      <c r="FW566" s="9"/>
      <c r="FX566" s="9"/>
      <c r="FY566" s="9"/>
      <c r="FZ566" s="9"/>
      <c r="GA566" s="9"/>
      <c r="GB566" s="9"/>
      <c r="GC566" s="9"/>
      <c r="GD566" s="9"/>
      <c r="GE566" s="9"/>
      <c r="GF566" s="9"/>
      <c r="GG566" s="9"/>
      <c r="GH566" s="9"/>
      <c r="GI566" s="9"/>
      <c r="GJ566" s="9"/>
      <c r="GK566" s="9"/>
      <c r="GL566" s="9"/>
      <c r="GM566" s="9"/>
      <c r="GN566" s="9"/>
      <c r="GO566" s="9"/>
      <c r="GP566" s="9"/>
      <c r="GQ566" s="9"/>
      <c r="GR566" s="9"/>
      <c r="GS566" s="9"/>
      <c r="GT566" s="9"/>
      <c r="GU566" s="9"/>
      <c r="GV566" s="9"/>
      <c r="GW566" s="9"/>
      <c r="GX566" s="9"/>
      <c r="GY566" s="9"/>
      <c r="GZ566" s="9"/>
      <c r="HA566" s="9"/>
      <c r="HB566" s="9"/>
      <c r="HC566" s="9"/>
      <c r="HD566" s="9"/>
      <c r="HE566" s="9"/>
      <c r="HF566" s="9"/>
      <c r="HG566" s="9"/>
      <c r="HH566" s="9"/>
      <c r="HI566" s="9"/>
      <c r="HJ566" s="9"/>
      <c r="HK566" s="9"/>
      <c r="HL566" s="9"/>
      <c r="HM566" s="9"/>
      <c r="HN566" s="9"/>
      <c r="HO566" s="9"/>
      <c r="HP566" s="9"/>
      <c r="HQ566" s="9"/>
      <c r="HR566" s="9"/>
      <c r="HS566" s="9"/>
      <c r="HT566" s="9"/>
      <c r="HU566" s="9"/>
      <c r="HV566" s="9"/>
      <c r="HW566" s="9"/>
      <c r="HX566" s="9"/>
      <c r="HY566" s="9"/>
      <c r="HZ566" s="9"/>
      <c r="IA566" s="9"/>
      <c r="IB566" s="9"/>
      <c r="IC566" s="9"/>
      <c r="ID566" s="9"/>
      <c r="IE566" s="9"/>
      <c r="IF566" s="9"/>
      <c r="IG566" s="9"/>
      <c r="IH566" s="9"/>
      <c r="II566" s="9"/>
      <c r="IJ566" s="9"/>
      <c r="IK566" s="9"/>
      <c r="IL566" s="9"/>
      <c r="IM566" s="9"/>
      <c r="IN566" s="9"/>
      <c r="IO566" s="9"/>
      <c r="IP566" s="9"/>
      <c r="IQ566" s="9"/>
      <c r="IR566" s="9"/>
      <c r="IS566" s="9"/>
      <c r="IT566" s="9"/>
      <c r="IU566" s="9"/>
      <c r="IV566" s="9"/>
    </row>
    <row r="567" spans="1:256" outlineLevel="1">
      <c r="A567" s="16"/>
      <c r="B567" s="44"/>
      <c r="C567" s="20"/>
      <c r="D567" s="20"/>
      <c r="E567" s="20"/>
      <c r="F567" s="21"/>
      <c r="G567" s="21"/>
      <c r="H567" s="21"/>
      <c r="I567" s="21"/>
      <c r="J567" s="21"/>
      <c r="K567" s="21"/>
      <c r="L567" s="21"/>
      <c r="M567" s="21"/>
      <c r="N567" s="21"/>
      <c r="O567" s="21"/>
      <c r="P567" s="21"/>
      <c r="Q567" s="21"/>
      <c r="R567" s="20"/>
      <c r="S567" s="22">
        <f t="shared" si="37"/>
        <v>0</v>
      </c>
      <c r="T567" s="22">
        <f>COUNTIF($V$4:V567,V567)</f>
        <v>296</v>
      </c>
      <c r="U567" s="22" t="str">
        <f>IF(T567=1,COUNTIF($T$4:T567,1),"")</f>
        <v/>
      </c>
      <c r="V567" s="23" t="str">
        <f t="shared" si="38"/>
        <v/>
      </c>
      <c r="W567" s="23">
        <f t="shared" si="36"/>
        <v>0</v>
      </c>
      <c r="X567" s="24"/>
      <c r="Y567" s="23"/>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c r="EB567" s="9"/>
      <c r="EC567" s="9"/>
      <c r="ED567" s="9"/>
      <c r="EE567" s="9"/>
      <c r="EF567" s="9"/>
      <c r="EG567" s="9"/>
      <c r="EH567" s="9"/>
      <c r="EI567" s="9"/>
      <c r="EJ567" s="9"/>
      <c r="EK567" s="9"/>
      <c r="EL567" s="9"/>
      <c r="EM567" s="9"/>
      <c r="EN567" s="9"/>
      <c r="EO567" s="9"/>
      <c r="EP567" s="9"/>
      <c r="EQ567" s="9"/>
      <c r="ER567" s="9"/>
      <c r="ES567" s="9"/>
      <c r="ET567" s="9"/>
      <c r="EU567" s="9"/>
      <c r="EV567" s="9"/>
      <c r="EW567" s="9"/>
      <c r="EX567" s="9"/>
      <c r="EY567" s="9"/>
      <c r="EZ567" s="9"/>
      <c r="FA567" s="9"/>
      <c r="FB567" s="9"/>
      <c r="FC567" s="9"/>
      <c r="FD567" s="9"/>
      <c r="FE567" s="9"/>
      <c r="FF567" s="9"/>
      <c r="FG567" s="9"/>
      <c r="FH567" s="9"/>
      <c r="FI567" s="9"/>
      <c r="FJ567" s="9"/>
      <c r="FK567" s="9"/>
      <c r="FL567" s="9"/>
      <c r="FM567" s="9"/>
      <c r="FN567" s="9"/>
      <c r="FO567" s="9"/>
      <c r="FP567" s="9"/>
      <c r="FQ567" s="9"/>
      <c r="FR567" s="9"/>
      <c r="FS567" s="9"/>
      <c r="FT567" s="9"/>
      <c r="FU567" s="9"/>
      <c r="FV567" s="9"/>
      <c r="FW567" s="9"/>
      <c r="FX567" s="9"/>
      <c r="FY567" s="9"/>
      <c r="FZ567" s="9"/>
      <c r="GA567" s="9"/>
      <c r="GB567" s="9"/>
      <c r="GC567" s="9"/>
      <c r="GD567" s="9"/>
      <c r="GE567" s="9"/>
      <c r="GF567" s="9"/>
      <c r="GG567" s="9"/>
      <c r="GH567" s="9"/>
      <c r="GI567" s="9"/>
      <c r="GJ567" s="9"/>
      <c r="GK567" s="9"/>
      <c r="GL567" s="9"/>
      <c r="GM567" s="9"/>
      <c r="GN567" s="9"/>
      <c r="GO567" s="9"/>
      <c r="GP567" s="9"/>
      <c r="GQ567" s="9"/>
      <c r="GR567" s="9"/>
      <c r="GS567" s="9"/>
      <c r="GT567" s="9"/>
      <c r="GU567" s="9"/>
      <c r="GV567" s="9"/>
      <c r="GW567" s="9"/>
      <c r="GX567" s="9"/>
      <c r="GY567" s="9"/>
      <c r="GZ567" s="9"/>
      <c r="HA567" s="9"/>
      <c r="HB567" s="9"/>
      <c r="HC567" s="9"/>
      <c r="HD567" s="9"/>
      <c r="HE567" s="9"/>
      <c r="HF567" s="9"/>
      <c r="HG567" s="9"/>
      <c r="HH567" s="9"/>
      <c r="HI567" s="9"/>
      <c r="HJ567" s="9"/>
      <c r="HK567" s="9"/>
      <c r="HL567" s="9"/>
      <c r="HM567" s="9"/>
      <c r="HN567" s="9"/>
      <c r="HO567" s="9"/>
      <c r="HP567" s="9"/>
      <c r="HQ567" s="9"/>
      <c r="HR567" s="9"/>
      <c r="HS567" s="9"/>
      <c r="HT567" s="9"/>
      <c r="HU567" s="9"/>
      <c r="HV567" s="9"/>
      <c r="HW567" s="9"/>
      <c r="HX567" s="9"/>
      <c r="HY567" s="9"/>
      <c r="HZ567" s="9"/>
      <c r="IA567" s="9"/>
      <c r="IB567" s="9"/>
      <c r="IC567" s="9"/>
      <c r="ID567" s="9"/>
      <c r="IE567" s="9"/>
      <c r="IF567" s="9"/>
      <c r="IG567" s="9"/>
      <c r="IH567" s="9"/>
      <c r="II567" s="9"/>
      <c r="IJ567" s="9"/>
      <c r="IK567" s="9"/>
      <c r="IL567" s="9"/>
      <c r="IM567" s="9"/>
      <c r="IN567" s="9"/>
      <c r="IO567" s="9"/>
      <c r="IP567" s="9"/>
      <c r="IQ567" s="9"/>
      <c r="IR567" s="9"/>
      <c r="IS567" s="9"/>
      <c r="IT567" s="9"/>
      <c r="IU567" s="9"/>
      <c r="IV567" s="9"/>
    </row>
    <row r="568" spans="1:256" outlineLevel="1">
      <c r="A568" s="16"/>
      <c r="B568" s="44"/>
      <c r="C568" s="20"/>
      <c r="D568" s="20"/>
      <c r="E568" s="20"/>
      <c r="F568" s="21"/>
      <c r="G568" s="21"/>
      <c r="H568" s="21"/>
      <c r="I568" s="21"/>
      <c r="J568" s="21"/>
      <c r="K568" s="21"/>
      <c r="L568" s="21"/>
      <c r="M568" s="21"/>
      <c r="N568" s="21"/>
      <c r="O568" s="21"/>
      <c r="P568" s="21"/>
      <c r="Q568" s="21"/>
      <c r="R568" s="20"/>
      <c r="S568" s="22">
        <f t="shared" si="37"/>
        <v>0</v>
      </c>
      <c r="T568" s="22">
        <f>COUNTIF($V$4:V568,V568)</f>
        <v>297</v>
      </c>
      <c r="U568" s="22" t="str">
        <f>IF(T568=1,COUNTIF($T$4:T568,1),"")</f>
        <v/>
      </c>
      <c r="V568" s="23" t="str">
        <f t="shared" si="38"/>
        <v/>
      </c>
      <c r="W568" s="23">
        <f t="shared" si="36"/>
        <v>0</v>
      </c>
      <c r="X568" s="24"/>
      <c r="Y568" s="23"/>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c r="EB568" s="9"/>
      <c r="EC568" s="9"/>
      <c r="ED568" s="9"/>
      <c r="EE568" s="9"/>
      <c r="EF568" s="9"/>
      <c r="EG568" s="9"/>
      <c r="EH568" s="9"/>
      <c r="EI568" s="9"/>
      <c r="EJ568" s="9"/>
      <c r="EK568" s="9"/>
      <c r="EL568" s="9"/>
      <c r="EM568" s="9"/>
      <c r="EN568" s="9"/>
      <c r="EO568" s="9"/>
      <c r="EP568" s="9"/>
      <c r="EQ568" s="9"/>
      <c r="ER568" s="9"/>
      <c r="ES568" s="9"/>
      <c r="ET568" s="9"/>
      <c r="EU568" s="9"/>
      <c r="EV568" s="9"/>
      <c r="EW568" s="9"/>
      <c r="EX568" s="9"/>
      <c r="EY568" s="9"/>
      <c r="EZ568" s="9"/>
      <c r="FA568" s="9"/>
      <c r="FB568" s="9"/>
      <c r="FC568" s="9"/>
      <c r="FD568" s="9"/>
      <c r="FE568" s="9"/>
      <c r="FF568" s="9"/>
      <c r="FG568" s="9"/>
      <c r="FH568" s="9"/>
      <c r="FI568" s="9"/>
      <c r="FJ568" s="9"/>
      <c r="FK568" s="9"/>
      <c r="FL568" s="9"/>
      <c r="FM568" s="9"/>
      <c r="FN568" s="9"/>
      <c r="FO568" s="9"/>
      <c r="FP568" s="9"/>
      <c r="FQ568" s="9"/>
      <c r="FR568" s="9"/>
      <c r="FS568" s="9"/>
      <c r="FT568" s="9"/>
      <c r="FU568" s="9"/>
      <c r="FV568" s="9"/>
      <c r="FW568" s="9"/>
      <c r="FX568" s="9"/>
      <c r="FY568" s="9"/>
      <c r="FZ568" s="9"/>
      <c r="GA568" s="9"/>
      <c r="GB568" s="9"/>
      <c r="GC568" s="9"/>
      <c r="GD568" s="9"/>
      <c r="GE568" s="9"/>
      <c r="GF568" s="9"/>
      <c r="GG568" s="9"/>
      <c r="GH568" s="9"/>
      <c r="GI568" s="9"/>
      <c r="GJ568" s="9"/>
      <c r="GK568" s="9"/>
      <c r="GL568" s="9"/>
      <c r="GM568" s="9"/>
      <c r="GN568" s="9"/>
      <c r="GO568" s="9"/>
      <c r="GP568" s="9"/>
      <c r="GQ568" s="9"/>
      <c r="GR568" s="9"/>
      <c r="GS568" s="9"/>
      <c r="GT568" s="9"/>
      <c r="GU568" s="9"/>
      <c r="GV568" s="9"/>
      <c r="GW568" s="9"/>
      <c r="GX568" s="9"/>
      <c r="GY568" s="9"/>
      <c r="GZ568" s="9"/>
      <c r="HA568" s="9"/>
      <c r="HB568" s="9"/>
      <c r="HC568" s="9"/>
      <c r="HD568" s="9"/>
      <c r="HE568" s="9"/>
      <c r="HF568" s="9"/>
      <c r="HG568" s="9"/>
      <c r="HH568" s="9"/>
      <c r="HI568" s="9"/>
      <c r="HJ568" s="9"/>
      <c r="HK568" s="9"/>
      <c r="HL568" s="9"/>
      <c r="HM568" s="9"/>
      <c r="HN568" s="9"/>
      <c r="HO568" s="9"/>
      <c r="HP568" s="9"/>
      <c r="HQ568" s="9"/>
      <c r="HR568" s="9"/>
      <c r="HS568" s="9"/>
      <c r="HT568" s="9"/>
      <c r="HU568" s="9"/>
      <c r="HV568" s="9"/>
      <c r="HW568" s="9"/>
      <c r="HX568" s="9"/>
      <c r="HY568" s="9"/>
      <c r="HZ568" s="9"/>
      <c r="IA568" s="9"/>
      <c r="IB568" s="9"/>
      <c r="IC568" s="9"/>
      <c r="ID568" s="9"/>
      <c r="IE568" s="9"/>
      <c r="IF568" s="9"/>
      <c r="IG568" s="9"/>
      <c r="IH568" s="9"/>
      <c r="II568" s="9"/>
      <c r="IJ568" s="9"/>
      <c r="IK568" s="9"/>
      <c r="IL568" s="9"/>
      <c r="IM568" s="9"/>
      <c r="IN568" s="9"/>
      <c r="IO568" s="9"/>
      <c r="IP568" s="9"/>
      <c r="IQ568" s="9"/>
      <c r="IR568" s="9"/>
      <c r="IS568" s="9"/>
      <c r="IT568" s="9"/>
      <c r="IU568" s="9"/>
      <c r="IV568" s="9"/>
    </row>
    <row r="569" spans="1:256" outlineLevel="1">
      <c r="A569" s="16"/>
      <c r="B569" s="44"/>
      <c r="C569" s="20"/>
      <c r="D569" s="20"/>
      <c r="E569" s="20"/>
      <c r="F569" s="21"/>
      <c r="G569" s="21"/>
      <c r="H569" s="21"/>
      <c r="I569" s="21"/>
      <c r="J569" s="21"/>
      <c r="K569" s="21"/>
      <c r="L569" s="21"/>
      <c r="M569" s="21"/>
      <c r="N569" s="21"/>
      <c r="O569" s="21"/>
      <c r="P569" s="21"/>
      <c r="Q569" s="21"/>
      <c r="R569" s="20"/>
      <c r="S569" s="22">
        <f t="shared" si="37"/>
        <v>0</v>
      </c>
      <c r="T569" s="22">
        <f>COUNTIF($V$4:V569,V569)</f>
        <v>298</v>
      </c>
      <c r="U569" s="22" t="str">
        <f>IF(T569=1,COUNTIF($T$4:T569,1),"")</f>
        <v/>
      </c>
      <c r="V569" s="23" t="str">
        <f t="shared" si="38"/>
        <v/>
      </c>
      <c r="W569" s="23">
        <f t="shared" si="36"/>
        <v>0</v>
      </c>
      <c r="X569" s="24"/>
      <c r="Y569" s="23"/>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c r="EB569" s="9"/>
      <c r="EC569" s="9"/>
      <c r="ED569" s="9"/>
      <c r="EE569" s="9"/>
      <c r="EF569" s="9"/>
      <c r="EG569" s="9"/>
      <c r="EH569" s="9"/>
      <c r="EI569" s="9"/>
      <c r="EJ569" s="9"/>
      <c r="EK569" s="9"/>
      <c r="EL569" s="9"/>
      <c r="EM569" s="9"/>
      <c r="EN569" s="9"/>
      <c r="EO569" s="9"/>
      <c r="EP569" s="9"/>
      <c r="EQ569" s="9"/>
      <c r="ER569" s="9"/>
      <c r="ES569" s="9"/>
      <c r="ET569" s="9"/>
      <c r="EU569" s="9"/>
      <c r="EV569" s="9"/>
      <c r="EW569" s="9"/>
      <c r="EX569" s="9"/>
      <c r="EY569" s="9"/>
      <c r="EZ569" s="9"/>
      <c r="FA569" s="9"/>
      <c r="FB569" s="9"/>
      <c r="FC569" s="9"/>
      <c r="FD569" s="9"/>
      <c r="FE569" s="9"/>
      <c r="FF569" s="9"/>
      <c r="FG569" s="9"/>
      <c r="FH569" s="9"/>
      <c r="FI569" s="9"/>
      <c r="FJ569" s="9"/>
      <c r="FK569" s="9"/>
      <c r="FL569" s="9"/>
      <c r="FM569" s="9"/>
      <c r="FN569" s="9"/>
      <c r="FO569" s="9"/>
      <c r="FP569" s="9"/>
      <c r="FQ569" s="9"/>
      <c r="FR569" s="9"/>
      <c r="FS569" s="9"/>
      <c r="FT569" s="9"/>
      <c r="FU569" s="9"/>
      <c r="FV569" s="9"/>
      <c r="FW569" s="9"/>
      <c r="FX569" s="9"/>
      <c r="FY569" s="9"/>
      <c r="FZ569" s="9"/>
      <c r="GA569" s="9"/>
      <c r="GB569" s="9"/>
      <c r="GC569" s="9"/>
      <c r="GD569" s="9"/>
      <c r="GE569" s="9"/>
      <c r="GF569" s="9"/>
      <c r="GG569" s="9"/>
      <c r="GH569" s="9"/>
      <c r="GI569" s="9"/>
      <c r="GJ569" s="9"/>
      <c r="GK569" s="9"/>
      <c r="GL569" s="9"/>
      <c r="GM569" s="9"/>
      <c r="GN569" s="9"/>
      <c r="GO569" s="9"/>
      <c r="GP569" s="9"/>
      <c r="GQ569" s="9"/>
      <c r="GR569" s="9"/>
      <c r="GS569" s="9"/>
      <c r="GT569" s="9"/>
      <c r="GU569" s="9"/>
      <c r="GV569" s="9"/>
      <c r="GW569" s="9"/>
      <c r="GX569" s="9"/>
      <c r="GY569" s="9"/>
      <c r="GZ569" s="9"/>
      <c r="HA569" s="9"/>
      <c r="HB569" s="9"/>
      <c r="HC569" s="9"/>
      <c r="HD569" s="9"/>
      <c r="HE569" s="9"/>
      <c r="HF569" s="9"/>
      <c r="HG569" s="9"/>
      <c r="HH569" s="9"/>
      <c r="HI569" s="9"/>
      <c r="HJ569" s="9"/>
      <c r="HK569" s="9"/>
      <c r="HL569" s="9"/>
      <c r="HM569" s="9"/>
      <c r="HN569" s="9"/>
      <c r="HO569" s="9"/>
      <c r="HP569" s="9"/>
      <c r="HQ569" s="9"/>
      <c r="HR569" s="9"/>
      <c r="HS569" s="9"/>
      <c r="HT569" s="9"/>
      <c r="HU569" s="9"/>
      <c r="HV569" s="9"/>
      <c r="HW569" s="9"/>
      <c r="HX569" s="9"/>
      <c r="HY569" s="9"/>
      <c r="HZ569" s="9"/>
      <c r="IA569" s="9"/>
      <c r="IB569" s="9"/>
      <c r="IC569" s="9"/>
      <c r="ID569" s="9"/>
      <c r="IE569" s="9"/>
      <c r="IF569" s="9"/>
      <c r="IG569" s="9"/>
      <c r="IH569" s="9"/>
      <c r="II569" s="9"/>
      <c r="IJ569" s="9"/>
      <c r="IK569" s="9"/>
      <c r="IL569" s="9"/>
      <c r="IM569" s="9"/>
      <c r="IN569" s="9"/>
      <c r="IO569" s="9"/>
      <c r="IP569" s="9"/>
      <c r="IQ569" s="9"/>
      <c r="IR569" s="9"/>
      <c r="IS569" s="9"/>
      <c r="IT569" s="9"/>
      <c r="IU569" s="9"/>
      <c r="IV569" s="9"/>
    </row>
    <row r="570" spans="1:256" outlineLevel="1">
      <c r="A570" s="16"/>
      <c r="B570" s="44"/>
      <c r="C570" s="20"/>
      <c r="D570" s="20"/>
      <c r="E570" s="20"/>
      <c r="F570" s="21"/>
      <c r="G570" s="21"/>
      <c r="H570" s="21"/>
      <c r="I570" s="21"/>
      <c r="J570" s="21"/>
      <c r="K570" s="21"/>
      <c r="L570" s="21"/>
      <c r="M570" s="21"/>
      <c r="N570" s="21"/>
      <c r="O570" s="21"/>
      <c r="P570" s="21"/>
      <c r="Q570" s="21"/>
      <c r="R570" s="20"/>
      <c r="S570" s="22">
        <f t="shared" si="37"/>
        <v>0</v>
      </c>
      <c r="T570" s="22">
        <f>COUNTIF($V$4:V570,V570)</f>
        <v>299</v>
      </c>
      <c r="U570" s="22" t="str">
        <f>IF(T570=1,COUNTIF($T$4:T570,1),"")</f>
        <v/>
      </c>
      <c r="V570" s="23" t="str">
        <f t="shared" si="38"/>
        <v/>
      </c>
      <c r="W570" s="23">
        <f t="shared" si="36"/>
        <v>0</v>
      </c>
      <c r="X570" s="24"/>
      <c r="Y570" s="23"/>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c r="EB570" s="9"/>
      <c r="EC570" s="9"/>
      <c r="ED570" s="9"/>
      <c r="EE570" s="9"/>
      <c r="EF570" s="9"/>
      <c r="EG570" s="9"/>
      <c r="EH570" s="9"/>
      <c r="EI570" s="9"/>
      <c r="EJ570" s="9"/>
      <c r="EK570" s="9"/>
      <c r="EL570" s="9"/>
      <c r="EM570" s="9"/>
      <c r="EN570" s="9"/>
      <c r="EO570" s="9"/>
      <c r="EP570" s="9"/>
      <c r="EQ570" s="9"/>
      <c r="ER570" s="9"/>
      <c r="ES570" s="9"/>
      <c r="ET570" s="9"/>
      <c r="EU570" s="9"/>
      <c r="EV570" s="9"/>
      <c r="EW570" s="9"/>
      <c r="EX570" s="9"/>
      <c r="EY570" s="9"/>
      <c r="EZ570" s="9"/>
      <c r="FA570" s="9"/>
      <c r="FB570" s="9"/>
      <c r="FC570" s="9"/>
      <c r="FD570" s="9"/>
      <c r="FE570" s="9"/>
      <c r="FF570" s="9"/>
      <c r="FG570" s="9"/>
      <c r="FH570" s="9"/>
      <c r="FI570" s="9"/>
      <c r="FJ570" s="9"/>
      <c r="FK570" s="9"/>
      <c r="FL570" s="9"/>
      <c r="FM570" s="9"/>
      <c r="FN570" s="9"/>
      <c r="FO570" s="9"/>
      <c r="FP570" s="9"/>
      <c r="FQ570" s="9"/>
      <c r="FR570" s="9"/>
      <c r="FS570" s="9"/>
      <c r="FT570" s="9"/>
      <c r="FU570" s="9"/>
      <c r="FV570" s="9"/>
      <c r="FW570" s="9"/>
      <c r="FX570" s="9"/>
      <c r="FY570" s="9"/>
      <c r="FZ570" s="9"/>
      <c r="GA570" s="9"/>
      <c r="GB570" s="9"/>
      <c r="GC570" s="9"/>
      <c r="GD570" s="9"/>
      <c r="GE570" s="9"/>
      <c r="GF570" s="9"/>
      <c r="GG570" s="9"/>
      <c r="GH570" s="9"/>
      <c r="GI570" s="9"/>
      <c r="GJ570" s="9"/>
      <c r="GK570" s="9"/>
      <c r="GL570" s="9"/>
      <c r="GM570" s="9"/>
      <c r="GN570" s="9"/>
      <c r="GO570" s="9"/>
      <c r="GP570" s="9"/>
      <c r="GQ570" s="9"/>
      <c r="GR570" s="9"/>
      <c r="GS570" s="9"/>
      <c r="GT570" s="9"/>
      <c r="GU570" s="9"/>
      <c r="GV570" s="9"/>
      <c r="GW570" s="9"/>
      <c r="GX570" s="9"/>
      <c r="GY570" s="9"/>
      <c r="GZ570" s="9"/>
      <c r="HA570" s="9"/>
      <c r="HB570" s="9"/>
      <c r="HC570" s="9"/>
      <c r="HD570" s="9"/>
      <c r="HE570" s="9"/>
      <c r="HF570" s="9"/>
      <c r="HG570" s="9"/>
      <c r="HH570" s="9"/>
      <c r="HI570" s="9"/>
      <c r="HJ570" s="9"/>
      <c r="HK570" s="9"/>
      <c r="HL570" s="9"/>
      <c r="HM570" s="9"/>
      <c r="HN570" s="9"/>
      <c r="HO570" s="9"/>
      <c r="HP570" s="9"/>
      <c r="HQ570" s="9"/>
      <c r="HR570" s="9"/>
      <c r="HS570" s="9"/>
      <c r="HT570" s="9"/>
      <c r="HU570" s="9"/>
      <c r="HV570" s="9"/>
      <c r="HW570" s="9"/>
      <c r="HX570" s="9"/>
      <c r="HY570" s="9"/>
      <c r="HZ570" s="9"/>
      <c r="IA570" s="9"/>
      <c r="IB570" s="9"/>
      <c r="IC570" s="9"/>
      <c r="ID570" s="9"/>
      <c r="IE570" s="9"/>
      <c r="IF570" s="9"/>
      <c r="IG570" s="9"/>
      <c r="IH570" s="9"/>
      <c r="II570" s="9"/>
      <c r="IJ570" s="9"/>
      <c r="IK570" s="9"/>
      <c r="IL570" s="9"/>
      <c r="IM570" s="9"/>
      <c r="IN570" s="9"/>
      <c r="IO570" s="9"/>
      <c r="IP570" s="9"/>
      <c r="IQ570" s="9"/>
      <c r="IR570" s="9"/>
      <c r="IS570" s="9"/>
      <c r="IT570" s="9"/>
      <c r="IU570" s="9"/>
      <c r="IV570" s="9"/>
    </row>
    <row r="571" spans="1:256" outlineLevel="1">
      <c r="A571" s="16"/>
      <c r="B571" s="44"/>
      <c r="C571" s="20"/>
      <c r="D571" s="20"/>
      <c r="E571" s="20"/>
      <c r="F571" s="21"/>
      <c r="G571" s="21"/>
      <c r="H571" s="21"/>
      <c r="I571" s="21"/>
      <c r="J571" s="21"/>
      <c r="K571" s="21"/>
      <c r="L571" s="21"/>
      <c r="M571" s="21"/>
      <c r="N571" s="21"/>
      <c r="O571" s="21"/>
      <c r="P571" s="21"/>
      <c r="Q571" s="21"/>
      <c r="R571" s="20"/>
      <c r="S571" s="22">
        <f t="shared" si="37"/>
        <v>0</v>
      </c>
      <c r="T571" s="22">
        <f>COUNTIF($V$4:V571,V571)</f>
        <v>300</v>
      </c>
      <c r="U571" s="22" t="str">
        <f>IF(T571=1,COUNTIF($T$4:T571,1),"")</f>
        <v/>
      </c>
      <c r="V571" s="23" t="str">
        <f t="shared" si="38"/>
        <v/>
      </c>
      <c r="W571" s="23">
        <f t="shared" si="36"/>
        <v>0</v>
      </c>
      <c r="X571" s="24"/>
      <c r="Y571" s="23"/>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c r="EB571" s="9"/>
      <c r="EC571" s="9"/>
      <c r="ED571" s="9"/>
      <c r="EE571" s="9"/>
      <c r="EF571" s="9"/>
      <c r="EG571" s="9"/>
      <c r="EH571" s="9"/>
      <c r="EI571" s="9"/>
      <c r="EJ571" s="9"/>
      <c r="EK571" s="9"/>
      <c r="EL571" s="9"/>
      <c r="EM571" s="9"/>
      <c r="EN571" s="9"/>
      <c r="EO571" s="9"/>
      <c r="EP571" s="9"/>
      <c r="EQ571" s="9"/>
      <c r="ER571" s="9"/>
      <c r="ES571" s="9"/>
      <c r="ET571" s="9"/>
      <c r="EU571" s="9"/>
      <c r="EV571" s="9"/>
      <c r="EW571" s="9"/>
      <c r="EX571" s="9"/>
      <c r="EY571" s="9"/>
      <c r="EZ571" s="9"/>
      <c r="FA571" s="9"/>
      <c r="FB571" s="9"/>
      <c r="FC571" s="9"/>
      <c r="FD571" s="9"/>
      <c r="FE571" s="9"/>
      <c r="FF571" s="9"/>
      <c r="FG571" s="9"/>
      <c r="FH571" s="9"/>
      <c r="FI571" s="9"/>
      <c r="FJ571" s="9"/>
      <c r="FK571" s="9"/>
      <c r="FL571" s="9"/>
      <c r="FM571" s="9"/>
      <c r="FN571" s="9"/>
      <c r="FO571" s="9"/>
      <c r="FP571" s="9"/>
      <c r="FQ571" s="9"/>
      <c r="FR571" s="9"/>
      <c r="FS571" s="9"/>
      <c r="FT571" s="9"/>
      <c r="FU571" s="9"/>
      <c r="FV571" s="9"/>
      <c r="FW571" s="9"/>
      <c r="FX571" s="9"/>
      <c r="FY571" s="9"/>
      <c r="FZ571" s="9"/>
      <c r="GA571" s="9"/>
      <c r="GB571" s="9"/>
      <c r="GC571" s="9"/>
      <c r="GD571" s="9"/>
      <c r="GE571" s="9"/>
      <c r="GF571" s="9"/>
      <c r="GG571" s="9"/>
      <c r="GH571" s="9"/>
      <c r="GI571" s="9"/>
      <c r="GJ571" s="9"/>
      <c r="GK571" s="9"/>
      <c r="GL571" s="9"/>
      <c r="GM571" s="9"/>
      <c r="GN571" s="9"/>
      <c r="GO571" s="9"/>
      <c r="GP571" s="9"/>
      <c r="GQ571" s="9"/>
      <c r="GR571" s="9"/>
      <c r="GS571" s="9"/>
      <c r="GT571" s="9"/>
      <c r="GU571" s="9"/>
      <c r="GV571" s="9"/>
      <c r="GW571" s="9"/>
      <c r="GX571" s="9"/>
      <c r="GY571" s="9"/>
      <c r="GZ571" s="9"/>
      <c r="HA571" s="9"/>
      <c r="HB571" s="9"/>
      <c r="HC571" s="9"/>
      <c r="HD571" s="9"/>
      <c r="HE571" s="9"/>
      <c r="HF571" s="9"/>
      <c r="HG571" s="9"/>
      <c r="HH571" s="9"/>
      <c r="HI571" s="9"/>
      <c r="HJ571" s="9"/>
      <c r="HK571" s="9"/>
      <c r="HL571" s="9"/>
      <c r="HM571" s="9"/>
      <c r="HN571" s="9"/>
      <c r="HO571" s="9"/>
      <c r="HP571" s="9"/>
      <c r="HQ571" s="9"/>
      <c r="HR571" s="9"/>
      <c r="HS571" s="9"/>
      <c r="HT571" s="9"/>
      <c r="HU571" s="9"/>
      <c r="HV571" s="9"/>
      <c r="HW571" s="9"/>
      <c r="HX571" s="9"/>
      <c r="HY571" s="9"/>
      <c r="HZ571" s="9"/>
      <c r="IA571" s="9"/>
      <c r="IB571" s="9"/>
      <c r="IC571" s="9"/>
      <c r="ID571" s="9"/>
      <c r="IE571" s="9"/>
      <c r="IF571" s="9"/>
      <c r="IG571" s="9"/>
      <c r="IH571" s="9"/>
      <c r="II571" s="9"/>
      <c r="IJ571" s="9"/>
      <c r="IK571" s="9"/>
      <c r="IL571" s="9"/>
      <c r="IM571" s="9"/>
      <c r="IN571" s="9"/>
      <c r="IO571" s="9"/>
      <c r="IP571" s="9"/>
      <c r="IQ571" s="9"/>
      <c r="IR571" s="9"/>
      <c r="IS571" s="9"/>
      <c r="IT571" s="9"/>
      <c r="IU571" s="9"/>
      <c r="IV571" s="9"/>
    </row>
    <row r="572" spans="1:256" outlineLevel="1">
      <c r="A572" s="16"/>
      <c r="B572" s="44"/>
      <c r="C572" s="20"/>
      <c r="D572" s="20"/>
      <c r="E572" s="20"/>
      <c r="F572" s="21"/>
      <c r="G572" s="21"/>
      <c r="H572" s="21"/>
      <c r="I572" s="21"/>
      <c r="J572" s="21"/>
      <c r="K572" s="21"/>
      <c r="L572" s="21"/>
      <c r="M572" s="21"/>
      <c r="N572" s="21"/>
      <c r="O572" s="21"/>
      <c r="P572" s="21"/>
      <c r="Q572" s="21"/>
      <c r="R572" s="20"/>
      <c r="S572" s="22">
        <f t="shared" si="37"/>
        <v>0</v>
      </c>
      <c r="T572" s="22">
        <f>COUNTIF($V$4:V572,V572)</f>
        <v>301</v>
      </c>
      <c r="U572" s="22" t="str">
        <f>IF(T572=1,COUNTIF($T$4:T572,1),"")</f>
        <v/>
      </c>
      <c r="V572" s="23" t="str">
        <f t="shared" si="38"/>
        <v/>
      </c>
      <c r="W572" s="23">
        <f t="shared" si="36"/>
        <v>0</v>
      </c>
      <c r="X572" s="24"/>
      <c r="Y572" s="23"/>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c r="EB572" s="9"/>
      <c r="EC572" s="9"/>
      <c r="ED572" s="9"/>
      <c r="EE572" s="9"/>
      <c r="EF572" s="9"/>
      <c r="EG572" s="9"/>
      <c r="EH572" s="9"/>
      <c r="EI572" s="9"/>
      <c r="EJ572" s="9"/>
      <c r="EK572" s="9"/>
      <c r="EL572" s="9"/>
      <c r="EM572" s="9"/>
      <c r="EN572" s="9"/>
      <c r="EO572" s="9"/>
      <c r="EP572" s="9"/>
      <c r="EQ572" s="9"/>
      <c r="ER572" s="9"/>
      <c r="ES572" s="9"/>
      <c r="ET572" s="9"/>
      <c r="EU572" s="9"/>
      <c r="EV572" s="9"/>
      <c r="EW572" s="9"/>
      <c r="EX572" s="9"/>
      <c r="EY572" s="9"/>
      <c r="EZ572" s="9"/>
      <c r="FA572" s="9"/>
      <c r="FB572" s="9"/>
      <c r="FC572" s="9"/>
      <c r="FD572" s="9"/>
      <c r="FE572" s="9"/>
      <c r="FF572" s="9"/>
      <c r="FG572" s="9"/>
      <c r="FH572" s="9"/>
      <c r="FI572" s="9"/>
      <c r="FJ572" s="9"/>
      <c r="FK572" s="9"/>
      <c r="FL572" s="9"/>
      <c r="FM572" s="9"/>
      <c r="FN572" s="9"/>
      <c r="FO572" s="9"/>
      <c r="FP572" s="9"/>
      <c r="FQ572" s="9"/>
      <c r="FR572" s="9"/>
      <c r="FS572" s="9"/>
      <c r="FT572" s="9"/>
      <c r="FU572" s="9"/>
      <c r="FV572" s="9"/>
      <c r="FW572" s="9"/>
      <c r="FX572" s="9"/>
      <c r="FY572" s="9"/>
      <c r="FZ572" s="9"/>
      <c r="GA572" s="9"/>
      <c r="GB572" s="9"/>
      <c r="GC572" s="9"/>
      <c r="GD572" s="9"/>
      <c r="GE572" s="9"/>
      <c r="GF572" s="9"/>
      <c r="GG572" s="9"/>
      <c r="GH572" s="9"/>
      <c r="GI572" s="9"/>
      <c r="GJ572" s="9"/>
      <c r="GK572" s="9"/>
      <c r="GL572" s="9"/>
      <c r="GM572" s="9"/>
      <c r="GN572" s="9"/>
      <c r="GO572" s="9"/>
      <c r="GP572" s="9"/>
      <c r="GQ572" s="9"/>
      <c r="GR572" s="9"/>
      <c r="GS572" s="9"/>
      <c r="GT572" s="9"/>
      <c r="GU572" s="9"/>
      <c r="GV572" s="9"/>
      <c r="GW572" s="9"/>
      <c r="GX572" s="9"/>
      <c r="GY572" s="9"/>
      <c r="GZ572" s="9"/>
      <c r="HA572" s="9"/>
      <c r="HB572" s="9"/>
      <c r="HC572" s="9"/>
      <c r="HD572" s="9"/>
      <c r="HE572" s="9"/>
      <c r="HF572" s="9"/>
      <c r="HG572" s="9"/>
      <c r="HH572" s="9"/>
      <c r="HI572" s="9"/>
      <c r="HJ572" s="9"/>
      <c r="HK572" s="9"/>
      <c r="HL572" s="9"/>
      <c r="HM572" s="9"/>
      <c r="HN572" s="9"/>
      <c r="HO572" s="9"/>
      <c r="HP572" s="9"/>
      <c r="HQ572" s="9"/>
      <c r="HR572" s="9"/>
      <c r="HS572" s="9"/>
      <c r="HT572" s="9"/>
      <c r="HU572" s="9"/>
      <c r="HV572" s="9"/>
      <c r="HW572" s="9"/>
      <c r="HX572" s="9"/>
      <c r="HY572" s="9"/>
      <c r="HZ572" s="9"/>
      <c r="IA572" s="9"/>
      <c r="IB572" s="9"/>
      <c r="IC572" s="9"/>
      <c r="ID572" s="9"/>
      <c r="IE572" s="9"/>
      <c r="IF572" s="9"/>
      <c r="IG572" s="9"/>
      <c r="IH572" s="9"/>
      <c r="II572" s="9"/>
      <c r="IJ572" s="9"/>
      <c r="IK572" s="9"/>
      <c r="IL572" s="9"/>
      <c r="IM572" s="9"/>
      <c r="IN572" s="9"/>
      <c r="IO572" s="9"/>
      <c r="IP572" s="9"/>
      <c r="IQ572" s="9"/>
      <c r="IR572" s="9"/>
      <c r="IS572" s="9"/>
      <c r="IT572" s="9"/>
      <c r="IU572" s="9"/>
      <c r="IV572" s="9"/>
    </row>
    <row r="573" spans="1:256" outlineLevel="1">
      <c r="A573" s="16"/>
      <c r="B573" s="44"/>
      <c r="C573" s="20"/>
      <c r="D573" s="20"/>
      <c r="E573" s="20"/>
      <c r="F573" s="21"/>
      <c r="G573" s="21"/>
      <c r="H573" s="21"/>
      <c r="I573" s="21"/>
      <c r="J573" s="21"/>
      <c r="K573" s="21"/>
      <c r="L573" s="21"/>
      <c r="M573" s="21"/>
      <c r="N573" s="21"/>
      <c r="O573" s="21"/>
      <c r="P573" s="21"/>
      <c r="Q573" s="21"/>
      <c r="R573" s="20"/>
      <c r="S573" s="22">
        <f t="shared" si="37"/>
        <v>0</v>
      </c>
      <c r="T573" s="22">
        <f>COUNTIF($V$4:V573,V573)</f>
        <v>302</v>
      </c>
      <c r="U573" s="22" t="str">
        <f>IF(T573=1,COUNTIF($T$4:T573,1),"")</f>
        <v/>
      </c>
      <c r="V573" s="23" t="str">
        <f t="shared" si="38"/>
        <v/>
      </c>
      <c r="W573" s="23">
        <f t="shared" si="36"/>
        <v>0</v>
      </c>
      <c r="X573" s="24"/>
      <c r="Y573" s="23"/>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c r="EB573" s="9"/>
      <c r="EC573" s="9"/>
      <c r="ED573" s="9"/>
      <c r="EE573" s="9"/>
      <c r="EF573" s="9"/>
      <c r="EG573" s="9"/>
      <c r="EH573" s="9"/>
      <c r="EI573" s="9"/>
      <c r="EJ573" s="9"/>
      <c r="EK573" s="9"/>
      <c r="EL573" s="9"/>
      <c r="EM573" s="9"/>
      <c r="EN573" s="9"/>
      <c r="EO573" s="9"/>
      <c r="EP573" s="9"/>
      <c r="EQ573" s="9"/>
      <c r="ER573" s="9"/>
      <c r="ES573" s="9"/>
      <c r="ET573" s="9"/>
      <c r="EU573" s="9"/>
      <c r="EV573" s="9"/>
      <c r="EW573" s="9"/>
      <c r="EX573" s="9"/>
      <c r="EY573" s="9"/>
      <c r="EZ573" s="9"/>
      <c r="FA573" s="9"/>
      <c r="FB573" s="9"/>
      <c r="FC573" s="9"/>
      <c r="FD573" s="9"/>
      <c r="FE573" s="9"/>
      <c r="FF573" s="9"/>
      <c r="FG573" s="9"/>
      <c r="FH573" s="9"/>
      <c r="FI573" s="9"/>
      <c r="FJ573" s="9"/>
      <c r="FK573" s="9"/>
      <c r="FL573" s="9"/>
      <c r="FM573" s="9"/>
      <c r="FN573" s="9"/>
      <c r="FO573" s="9"/>
      <c r="FP573" s="9"/>
      <c r="FQ573" s="9"/>
      <c r="FR573" s="9"/>
      <c r="FS573" s="9"/>
      <c r="FT573" s="9"/>
      <c r="FU573" s="9"/>
      <c r="FV573" s="9"/>
      <c r="FW573" s="9"/>
      <c r="FX573" s="9"/>
      <c r="FY573" s="9"/>
      <c r="FZ573" s="9"/>
      <c r="GA573" s="9"/>
      <c r="GB573" s="9"/>
      <c r="GC573" s="9"/>
      <c r="GD573" s="9"/>
      <c r="GE573" s="9"/>
      <c r="GF573" s="9"/>
      <c r="GG573" s="9"/>
      <c r="GH573" s="9"/>
      <c r="GI573" s="9"/>
      <c r="GJ573" s="9"/>
      <c r="GK573" s="9"/>
      <c r="GL573" s="9"/>
      <c r="GM573" s="9"/>
      <c r="GN573" s="9"/>
      <c r="GO573" s="9"/>
      <c r="GP573" s="9"/>
      <c r="GQ573" s="9"/>
      <c r="GR573" s="9"/>
      <c r="GS573" s="9"/>
      <c r="GT573" s="9"/>
      <c r="GU573" s="9"/>
      <c r="GV573" s="9"/>
      <c r="GW573" s="9"/>
      <c r="GX573" s="9"/>
      <c r="GY573" s="9"/>
      <c r="GZ573" s="9"/>
      <c r="HA573" s="9"/>
      <c r="HB573" s="9"/>
      <c r="HC573" s="9"/>
      <c r="HD573" s="9"/>
      <c r="HE573" s="9"/>
      <c r="HF573" s="9"/>
      <c r="HG573" s="9"/>
      <c r="HH573" s="9"/>
      <c r="HI573" s="9"/>
      <c r="HJ573" s="9"/>
      <c r="HK573" s="9"/>
      <c r="HL573" s="9"/>
      <c r="HM573" s="9"/>
      <c r="HN573" s="9"/>
      <c r="HO573" s="9"/>
      <c r="HP573" s="9"/>
      <c r="HQ573" s="9"/>
      <c r="HR573" s="9"/>
      <c r="HS573" s="9"/>
      <c r="HT573" s="9"/>
      <c r="HU573" s="9"/>
      <c r="HV573" s="9"/>
      <c r="HW573" s="9"/>
      <c r="HX573" s="9"/>
      <c r="HY573" s="9"/>
      <c r="HZ573" s="9"/>
      <c r="IA573" s="9"/>
      <c r="IB573" s="9"/>
      <c r="IC573" s="9"/>
      <c r="ID573" s="9"/>
      <c r="IE573" s="9"/>
      <c r="IF573" s="9"/>
      <c r="IG573" s="9"/>
      <c r="IH573" s="9"/>
      <c r="II573" s="9"/>
      <c r="IJ573" s="9"/>
      <c r="IK573" s="9"/>
      <c r="IL573" s="9"/>
      <c r="IM573" s="9"/>
      <c r="IN573" s="9"/>
      <c r="IO573" s="9"/>
      <c r="IP573" s="9"/>
      <c r="IQ573" s="9"/>
      <c r="IR573" s="9"/>
      <c r="IS573" s="9"/>
      <c r="IT573" s="9"/>
      <c r="IU573" s="9"/>
      <c r="IV573" s="9"/>
    </row>
    <row r="574" spans="1:256" outlineLevel="1">
      <c r="A574" s="16"/>
      <c r="B574" s="44"/>
      <c r="C574" s="20"/>
      <c r="D574" s="20"/>
      <c r="E574" s="20"/>
      <c r="F574" s="21"/>
      <c r="G574" s="21"/>
      <c r="H574" s="21"/>
      <c r="I574" s="21"/>
      <c r="J574" s="21"/>
      <c r="K574" s="21"/>
      <c r="L574" s="21"/>
      <c r="M574" s="21"/>
      <c r="N574" s="21"/>
      <c r="O574" s="21"/>
      <c r="P574" s="21"/>
      <c r="Q574" s="21"/>
      <c r="R574" s="20"/>
      <c r="S574" s="22">
        <f t="shared" si="37"/>
        <v>0</v>
      </c>
      <c r="T574" s="22">
        <f>COUNTIF($V$4:V574,V574)</f>
        <v>303</v>
      </c>
      <c r="U574" s="22" t="str">
        <f>IF(T574=1,COUNTIF($T$4:T574,1),"")</f>
        <v/>
      </c>
      <c r="V574" s="23" t="str">
        <f t="shared" si="38"/>
        <v/>
      </c>
      <c r="W574" s="23">
        <f t="shared" si="36"/>
        <v>0</v>
      </c>
      <c r="X574" s="24"/>
      <c r="Y574" s="23"/>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c r="EB574" s="9"/>
      <c r="EC574" s="9"/>
      <c r="ED574" s="9"/>
      <c r="EE574" s="9"/>
      <c r="EF574" s="9"/>
      <c r="EG574" s="9"/>
      <c r="EH574" s="9"/>
      <c r="EI574" s="9"/>
      <c r="EJ574" s="9"/>
      <c r="EK574" s="9"/>
      <c r="EL574" s="9"/>
      <c r="EM574" s="9"/>
      <c r="EN574" s="9"/>
      <c r="EO574" s="9"/>
      <c r="EP574" s="9"/>
      <c r="EQ574" s="9"/>
      <c r="ER574" s="9"/>
      <c r="ES574" s="9"/>
      <c r="ET574" s="9"/>
      <c r="EU574" s="9"/>
      <c r="EV574" s="9"/>
      <c r="EW574" s="9"/>
      <c r="EX574" s="9"/>
      <c r="EY574" s="9"/>
      <c r="EZ574" s="9"/>
      <c r="FA574" s="9"/>
      <c r="FB574" s="9"/>
      <c r="FC574" s="9"/>
      <c r="FD574" s="9"/>
      <c r="FE574" s="9"/>
      <c r="FF574" s="9"/>
      <c r="FG574" s="9"/>
      <c r="FH574" s="9"/>
      <c r="FI574" s="9"/>
      <c r="FJ574" s="9"/>
      <c r="FK574" s="9"/>
      <c r="FL574" s="9"/>
      <c r="FM574" s="9"/>
      <c r="FN574" s="9"/>
      <c r="FO574" s="9"/>
      <c r="FP574" s="9"/>
      <c r="FQ574" s="9"/>
      <c r="FR574" s="9"/>
      <c r="FS574" s="9"/>
      <c r="FT574" s="9"/>
      <c r="FU574" s="9"/>
      <c r="FV574" s="9"/>
      <c r="FW574" s="9"/>
      <c r="FX574" s="9"/>
      <c r="FY574" s="9"/>
      <c r="FZ574" s="9"/>
      <c r="GA574" s="9"/>
      <c r="GB574" s="9"/>
      <c r="GC574" s="9"/>
      <c r="GD574" s="9"/>
      <c r="GE574" s="9"/>
      <c r="GF574" s="9"/>
      <c r="GG574" s="9"/>
      <c r="GH574" s="9"/>
      <c r="GI574" s="9"/>
      <c r="GJ574" s="9"/>
      <c r="GK574" s="9"/>
      <c r="GL574" s="9"/>
      <c r="GM574" s="9"/>
      <c r="GN574" s="9"/>
      <c r="GO574" s="9"/>
      <c r="GP574" s="9"/>
      <c r="GQ574" s="9"/>
      <c r="GR574" s="9"/>
      <c r="GS574" s="9"/>
      <c r="GT574" s="9"/>
      <c r="GU574" s="9"/>
      <c r="GV574" s="9"/>
      <c r="GW574" s="9"/>
      <c r="GX574" s="9"/>
      <c r="GY574" s="9"/>
      <c r="GZ574" s="9"/>
      <c r="HA574" s="9"/>
      <c r="HB574" s="9"/>
      <c r="HC574" s="9"/>
      <c r="HD574" s="9"/>
      <c r="HE574" s="9"/>
      <c r="HF574" s="9"/>
      <c r="HG574" s="9"/>
      <c r="HH574" s="9"/>
      <c r="HI574" s="9"/>
      <c r="HJ574" s="9"/>
      <c r="HK574" s="9"/>
      <c r="HL574" s="9"/>
      <c r="HM574" s="9"/>
      <c r="HN574" s="9"/>
      <c r="HO574" s="9"/>
      <c r="HP574" s="9"/>
      <c r="HQ574" s="9"/>
      <c r="HR574" s="9"/>
      <c r="HS574" s="9"/>
      <c r="HT574" s="9"/>
      <c r="HU574" s="9"/>
      <c r="HV574" s="9"/>
      <c r="HW574" s="9"/>
      <c r="HX574" s="9"/>
      <c r="HY574" s="9"/>
      <c r="HZ574" s="9"/>
      <c r="IA574" s="9"/>
      <c r="IB574" s="9"/>
      <c r="IC574" s="9"/>
      <c r="ID574" s="9"/>
      <c r="IE574" s="9"/>
      <c r="IF574" s="9"/>
      <c r="IG574" s="9"/>
      <c r="IH574" s="9"/>
      <c r="II574" s="9"/>
      <c r="IJ574" s="9"/>
      <c r="IK574" s="9"/>
      <c r="IL574" s="9"/>
      <c r="IM574" s="9"/>
      <c r="IN574" s="9"/>
      <c r="IO574" s="9"/>
      <c r="IP574" s="9"/>
      <c r="IQ574" s="9"/>
      <c r="IR574" s="9"/>
      <c r="IS574" s="9"/>
      <c r="IT574" s="9"/>
      <c r="IU574" s="9"/>
      <c r="IV574" s="9"/>
    </row>
    <row r="575" spans="1:256" outlineLevel="1">
      <c r="A575" s="16"/>
      <c r="B575" s="44"/>
      <c r="C575" s="20"/>
      <c r="D575" s="20"/>
      <c r="E575" s="20"/>
      <c r="F575" s="21"/>
      <c r="G575" s="21"/>
      <c r="H575" s="21"/>
      <c r="I575" s="21"/>
      <c r="J575" s="21"/>
      <c r="K575" s="21"/>
      <c r="L575" s="21"/>
      <c r="M575" s="21"/>
      <c r="N575" s="21"/>
      <c r="O575" s="21"/>
      <c r="P575" s="21"/>
      <c r="Q575" s="21"/>
      <c r="R575" s="20"/>
      <c r="S575" s="22">
        <f t="shared" si="37"/>
        <v>0</v>
      </c>
      <c r="T575" s="22">
        <f>COUNTIF($V$4:V575,V575)</f>
        <v>304</v>
      </c>
      <c r="U575" s="22" t="str">
        <f>IF(T575=1,COUNTIF($T$4:T575,1),"")</f>
        <v/>
      </c>
      <c r="V575" s="23" t="str">
        <f t="shared" si="38"/>
        <v/>
      </c>
      <c r="W575" s="23">
        <f t="shared" si="36"/>
        <v>0</v>
      </c>
      <c r="X575" s="24"/>
      <c r="Y575" s="23"/>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c r="EB575" s="9"/>
      <c r="EC575" s="9"/>
      <c r="ED575" s="9"/>
      <c r="EE575" s="9"/>
      <c r="EF575" s="9"/>
      <c r="EG575" s="9"/>
      <c r="EH575" s="9"/>
      <c r="EI575" s="9"/>
      <c r="EJ575" s="9"/>
      <c r="EK575" s="9"/>
      <c r="EL575" s="9"/>
      <c r="EM575" s="9"/>
      <c r="EN575" s="9"/>
      <c r="EO575" s="9"/>
      <c r="EP575" s="9"/>
      <c r="EQ575" s="9"/>
      <c r="ER575" s="9"/>
      <c r="ES575" s="9"/>
      <c r="ET575" s="9"/>
      <c r="EU575" s="9"/>
      <c r="EV575" s="9"/>
      <c r="EW575" s="9"/>
      <c r="EX575" s="9"/>
      <c r="EY575" s="9"/>
      <c r="EZ575" s="9"/>
      <c r="FA575" s="9"/>
      <c r="FB575" s="9"/>
      <c r="FC575" s="9"/>
      <c r="FD575" s="9"/>
      <c r="FE575" s="9"/>
      <c r="FF575" s="9"/>
      <c r="FG575" s="9"/>
      <c r="FH575" s="9"/>
      <c r="FI575" s="9"/>
      <c r="FJ575" s="9"/>
      <c r="FK575" s="9"/>
      <c r="FL575" s="9"/>
      <c r="FM575" s="9"/>
      <c r="FN575" s="9"/>
      <c r="FO575" s="9"/>
      <c r="FP575" s="9"/>
      <c r="FQ575" s="9"/>
      <c r="FR575" s="9"/>
      <c r="FS575" s="9"/>
      <c r="FT575" s="9"/>
      <c r="FU575" s="9"/>
      <c r="FV575" s="9"/>
      <c r="FW575" s="9"/>
      <c r="FX575" s="9"/>
      <c r="FY575" s="9"/>
      <c r="FZ575" s="9"/>
      <c r="GA575" s="9"/>
      <c r="GB575" s="9"/>
      <c r="GC575" s="9"/>
      <c r="GD575" s="9"/>
      <c r="GE575" s="9"/>
      <c r="GF575" s="9"/>
      <c r="GG575" s="9"/>
      <c r="GH575" s="9"/>
      <c r="GI575" s="9"/>
      <c r="GJ575" s="9"/>
      <c r="GK575" s="9"/>
      <c r="GL575" s="9"/>
      <c r="GM575" s="9"/>
      <c r="GN575" s="9"/>
      <c r="GO575" s="9"/>
      <c r="GP575" s="9"/>
      <c r="GQ575" s="9"/>
      <c r="GR575" s="9"/>
      <c r="GS575" s="9"/>
      <c r="GT575" s="9"/>
      <c r="GU575" s="9"/>
      <c r="GV575" s="9"/>
      <c r="GW575" s="9"/>
      <c r="GX575" s="9"/>
      <c r="GY575" s="9"/>
      <c r="GZ575" s="9"/>
      <c r="HA575" s="9"/>
      <c r="HB575" s="9"/>
      <c r="HC575" s="9"/>
      <c r="HD575" s="9"/>
      <c r="HE575" s="9"/>
      <c r="HF575" s="9"/>
      <c r="HG575" s="9"/>
      <c r="HH575" s="9"/>
      <c r="HI575" s="9"/>
      <c r="HJ575" s="9"/>
      <c r="HK575" s="9"/>
      <c r="HL575" s="9"/>
      <c r="HM575" s="9"/>
      <c r="HN575" s="9"/>
      <c r="HO575" s="9"/>
      <c r="HP575" s="9"/>
      <c r="HQ575" s="9"/>
      <c r="HR575" s="9"/>
      <c r="HS575" s="9"/>
      <c r="HT575" s="9"/>
      <c r="HU575" s="9"/>
      <c r="HV575" s="9"/>
      <c r="HW575" s="9"/>
      <c r="HX575" s="9"/>
      <c r="HY575" s="9"/>
      <c r="HZ575" s="9"/>
      <c r="IA575" s="9"/>
      <c r="IB575" s="9"/>
      <c r="IC575" s="9"/>
      <c r="ID575" s="9"/>
      <c r="IE575" s="9"/>
      <c r="IF575" s="9"/>
      <c r="IG575" s="9"/>
      <c r="IH575" s="9"/>
      <c r="II575" s="9"/>
      <c r="IJ575" s="9"/>
      <c r="IK575" s="9"/>
      <c r="IL575" s="9"/>
      <c r="IM575" s="9"/>
      <c r="IN575" s="9"/>
      <c r="IO575" s="9"/>
      <c r="IP575" s="9"/>
      <c r="IQ575" s="9"/>
      <c r="IR575" s="9"/>
      <c r="IS575" s="9"/>
      <c r="IT575" s="9"/>
      <c r="IU575" s="9"/>
      <c r="IV575" s="9"/>
    </row>
    <row r="576" spans="1:256" outlineLevel="1">
      <c r="A576" s="16"/>
      <c r="B576" s="44"/>
      <c r="C576" s="20"/>
      <c r="D576" s="20"/>
      <c r="E576" s="20"/>
      <c r="F576" s="21"/>
      <c r="G576" s="21"/>
      <c r="H576" s="21"/>
      <c r="I576" s="21"/>
      <c r="J576" s="21"/>
      <c r="K576" s="21"/>
      <c r="L576" s="21"/>
      <c r="M576" s="21"/>
      <c r="N576" s="21"/>
      <c r="O576" s="21"/>
      <c r="P576" s="21"/>
      <c r="Q576" s="21"/>
      <c r="R576" s="20"/>
      <c r="S576" s="22">
        <f t="shared" si="37"/>
        <v>0</v>
      </c>
      <c r="T576" s="22">
        <f>COUNTIF($V$4:V576,V576)</f>
        <v>305</v>
      </c>
      <c r="U576" s="22" t="str">
        <f>IF(T576=1,COUNTIF($T$4:T576,1),"")</f>
        <v/>
      </c>
      <c r="V576" s="23" t="str">
        <f t="shared" si="38"/>
        <v/>
      </c>
      <c r="W576" s="23">
        <f t="shared" si="36"/>
        <v>0</v>
      </c>
      <c r="X576" s="24"/>
      <c r="Y576" s="23"/>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c r="EB576" s="9"/>
      <c r="EC576" s="9"/>
      <c r="ED576" s="9"/>
      <c r="EE576" s="9"/>
      <c r="EF576" s="9"/>
      <c r="EG576" s="9"/>
      <c r="EH576" s="9"/>
      <c r="EI576" s="9"/>
      <c r="EJ576" s="9"/>
      <c r="EK576" s="9"/>
      <c r="EL576" s="9"/>
      <c r="EM576" s="9"/>
      <c r="EN576" s="9"/>
      <c r="EO576" s="9"/>
      <c r="EP576" s="9"/>
      <c r="EQ576" s="9"/>
      <c r="ER576" s="9"/>
      <c r="ES576" s="9"/>
      <c r="ET576" s="9"/>
      <c r="EU576" s="9"/>
      <c r="EV576" s="9"/>
      <c r="EW576" s="9"/>
      <c r="EX576" s="9"/>
      <c r="EY576" s="9"/>
      <c r="EZ576" s="9"/>
      <c r="FA576" s="9"/>
      <c r="FB576" s="9"/>
      <c r="FC576" s="9"/>
      <c r="FD576" s="9"/>
      <c r="FE576" s="9"/>
      <c r="FF576" s="9"/>
      <c r="FG576" s="9"/>
      <c r="FH576" s="9"/>
      <c r="FI576" s="9"/>
      <c r="FJ576" s="9"/>
      <c r="FK576" s="9"/>
      <c r="FL576" s="9"/>
      <c r="FM576" s="9"/>
      <c r="FN576" s="9"/>
      <c r="FO576" s="9"/>
      <c r="FP576" s="9"/>
      <c r="FQ576" s="9"/>
      <c r="FR576" s="9"/>
      <c r="FS576" s="9"/>
      <c r="FT576" s="9"/>
      <c r="FU576" s="9"/>
      <c r="FV576" s="9"/>
      <c r="FW576" s="9"/>
      <c r="FX576" s="9"/>
      <c r="FY576" s="9"/>
      <c r="FZ576" s="9"/>
      <c r="GA576" s="9"/>
      <c r="GB576" s="9"/>
      <c r="GC576" s="9"/>
      <c r="GD576" s="9"/>
      <c r="GE576" s="9"/>
      <c r="GF576" s="9"/>
      <c r="GG576" s="9"/>
      <c r="GH576" s="9"/>
      <c r="GI576" s="9"/>
      <c r="GJ576" s="9"/>
      <c r="GK576" s="9"/>
      <c r="GL576" s="9"/>
      <c r="GM576" s="9"/>
      <c r="GN576" s="9"/>
      <c r="GO576" s="9"/>
      <c r="GP576" s="9"/>
      <c r="GQ576" s="9"/>
      <c r="GR576" s="9"/>
      <c r="GS576" s="9"/>
      <c r="GT576" s="9"/>
      <c r="GU576" s="9"/>
      <c r="GV576" s="9"/>
      <c r="GW576" s="9"/>
      <c r="GX576" s="9"/>
      <c r="GY576" s="9"/>
      <c r="GZ576" s="9"/>
      <c r="HA576" s="9"/>
      <c r="HB576" s="9"/>
      <c r="HC576" s="9"/>
      <c r="HD576" s="9"/>
      <c r="HE576" s="9"/>
      <c r="HF576" s="9"/>
      <c r="HG576" s="9"/>
      <c r="HH576" s="9"/>
      <c r="HI576" s="9"/>
      <c r="HJ576" s="9"/>
      <c r="HK576" s="9"/>
      <c r="HL576" s="9"/>
      <c r="HM576" s="9"/>
      <c r="HN576" s="9"/>
      <c r="HO576" s="9"/>
      <c r="HP576" s="9"/>
      <c r="HQ576" s="9"/>
      <c r="HR576" s="9"/>
      <c r="HS576" s="9"/>
      <c r="HT576" s="9"/>
      <c r="HU576" s="9"/>
      <c r="HV576" s="9"/>
      <c r="HW576" s="9"/>
      <c r="HX576" s="9"/>
      <c r="HY576" s="9"/>
      <c r="HZ576" s="9"/>
      <c r="IA576" s="9"/>
      <c r="IB576" s="9"/>
      <c r="IC576" s="9"/>
      <c r="ID576" s="9"/>
      <c r="IE576" s="9"/>
      <c r="IF576" s="9"/>
      <c r="IG576" s="9"/>
      <c r="IH576" s="9"/>
      <c r="II576" s="9"/>
      <c r="IJ576" s="9"/>
      <c r="IK576" s="9"/>
      <c r="IL576" s="9"/>
      <c r="IM576" s="9"/>
      <c r="IN576" s="9"/>
      <c r="IO576" s="9"/>
      <c r="IP576" s="9"/>
      <c r="IQ576" s="9"/>
      <c r="IR576" s="9"/>
      <c r="IS576" s="9"/>
      <c r="IT576" s="9"/>
      <c r="IU576" s="9"/>
      <c r="IV576" s="9"/>
    </row>
    <row r="577" spans="1:256" outlineLevel="1">
      <c r="A577" s="16"/>
      <c r="B577" s="44"/>
      <c r="C577" s="20"/>
      <c r="D577" s="20"/>
      <c r="E577" s="20"/>
      <c r="F577" s="21"/>
      <c r="G577" s="21"/>
      <c r="H577" s="21"/>
      <c r="I577" s="21"/>
      <c r="J577" s="21"/>
      <c r="K577" s="21"/>
      <c r="L577" s="21"/>
      <c r="M577" s="21"/>
      <c r="N577" s="21"/>
      <c r="O577" s="21"/>
      <c r="P577" s="21"/>
      <c r="Q577" s="21"/>
      <c r="R577" s="20"/>
      <c r="S577" s="22">
        <f t="shared" si="37"/>
        <v>0</v>
      </c>
      <c r="T577" s="22">
        <f>COUNTIF($V$4:V577,V577)</f>
        <v>306</v>
      </c>
      <c r="U577" s="22" t="str">
        <f>IF(T577=1,COUNTIF($T$4:T577,1),"")</f>
        <v/>
      </c>
      <c r="V577" s="23" t="str">
        <f t="shared" si="38"/>
        <v/>
      </c>
      <c r="W577" s="23">
        <f t="shared" ref="W577:W601" si="39">$F577</f>
        <v>0</v>
      </c>
      <c r="X577" s="24"/>
      <c r="Y577" s="23"/>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c r="EB577" s="9"/>
      <c r="EC577" s="9"/>
      <c r="ED577" s="9"/>
      <c r="EE577" s="9"/>
      <c r="EF577" s="9"/>
      <c r="EG577" s="9"/>
      <c r="EH577" s="9"/>
      <c r="EI577" s="9"/>
      <c r="EJ577" s="9"/>
      <c r="EK577" s="9"/>
      <c r="EL577" s="9"/>
      <c r="EM577" s="9"/>
      <c r="EN577" s="9"/>
      <c r="EO577" s="9"/>
      <c r="EP577" s="9"/>
      <c r="EQ577" s="9"/>
      <c r="ER577" s="9"/>
      <c r="ES577" s="9"/>
      <c r="ET577" s="9"/>
      <c r="EU577" s="9"/>
      <c r="EV577" s="9"/>
      <c r="EW577" s="9"/>
      <c r="EX577" s="9"/>
      <c r="EY577" s="9"/>
      <c r="EZ577" s="9"/>
      <c r="FA577" s="9"/>
      <c r="FB577" s="9"/>
      <c r="FC577" s="9"/>
      <c r="FD577" s="9"/>
      <c r="FE577" s="9"/>
      <c r="FF577" s="9"/>
      <c r="FG577" s="9"/>
      <c r="FH577" s="9"/>
      <c r="FI577" s="9"/>
      <c r="FJ577" s="9"/>
      <c r="FK577" s="9"/>
      <c r="FL577" s="9"/>
      <c r="FM577" s="9"/>
      <c r="FN577" s="9"/>
      <c r="FO577" s="9"/>
      <c r="FP577" s="9"/>
      <c r="FQ577" s="9"/>
      <c r="FR577" s="9"/>
      <c r="FS577" s="9"/>
      <c r="FT577" s="9"/>
      <c r="FU577" s="9"/>
      <c r="FV577" s="9"/>
      <c r="FW577" s="9"/>
      <c r="FX577" s="9"/>
      <c r="FY577" s="9"/>
      <c r="FZ577" s="9"/>
      <c r="GA577" s="9"/>
      <c r="GB577" s="9"/>
      <c r="GC577" s="9"/>
      <c r="GD577" s="9"/>
      <c r="GE577" s="9"/>
      <c r="GF577" s="9"/>
      <c r="GG577" s="9"/>
      <c r="GH577" s="9"/>
      <c r="GI577" s="9"/>
      <c r="GJ577" s="9"/>
      <c r="GK577" s="9"/>
      <c r="GL577" s="9"/>
      <c r="GM577" s="9"/>
      <c r="GN577" s="9"/>
      <c r="GO577" s="9"/>
      <c r="GP577" s="9"/>
      <c r="GQ577" s="9"/>
      <c r="GR577" s="9"/>
      <c r="GS577" s="9"/>
      <c r="GT577" s="9"/>
      <c r="GU577" s="9"/>
      <c r="GV577" s="9"/>
      <c r="GW577" s="9"/>
      <c r="GX577" s="9"/>
      <c r="GY577" s="9"/>
      <c r="GZ577" s="9"/>
      <c r="HA577" s="9"/>
      <c r="HB577" s="9"/>
      <c r="HC577" s="9"/>
      <c r="HD577" s="9"/>
      <c r="HE577" s="9"/>
      <c r="HF577" s="9"/>
      <c r="HG577" s="9"/>
      <c r="HH577" s="9"/>
      <c r="HI577" s="9"/>
      <c r="HJ577" s="9"/>
      <c r="HK577" s="9"/>
      <c r="HL577" s="9"/>
      <c r="HM577" s="9"/>
      <c r="HN577" s="9"/>
      <c r="HO577" s="9"/>
      <c r="HP577" s="9"/>
      <c r="HQ577" s="9"/>
      <c r="HR577" s="9"/>
      <c r="HS577" s="9"/>
      <c r="HT577" s="9"/>
      <c r="HU577" s="9"/>
      <c r="HV577" s="9"/>
      <c r="HW577" s="9"/>
      <c r="HX577" s="9"/>
      <c r="HY577" s="9"/>
      <c r="HZ577" s="9"/>
      <c r="IA577" s="9"/>
      <c r="IB577" s="9"/>
      <c r="IC577" s="9"/>
      <c r="ID577" s="9"/>
      <c r="IE577" s="9"/>
      <c r="IF577" s="9"/>
      <c r="IG577" s="9"/>
      <c r="IH577" s="9"/>
      <c r="II577" s="9"/>
      <c r="IJ577" s="9"/>
      <c r="IK577" s="9"/>
      <c r="IL577" s="9"/>
      <c r="IM577" s="9"/>
      <c r="IN577" s="9"/>
      <c r="IO577" s="9"/>
      <c r="IP577" s="9"/>
      <c r="IQ577" s="9"/>
      <c r="IR577" s="9"/>
      <c r="IS577" s="9"/>
      <c r="IT577" s="9"/>
      <c r="IU577" s="9"/>
      <c r="IV577" s="9"/>
    </row>
    <row r="578" spans="1:256" outlineLevel="1">
      <c r="A578" s="16"/>
      <c r="B578" s="44"/>
      <c r="C578" s="20"/>
      <c r="D578" s="20"/>
      <c r="E578" s="20"/>
      <c r="F578" s="21"/>
      <c r="G578" s="21"/>
      <c r="H578" s="21"/>
      <c r="I578" s="21"/>
      <c r="J578" s="21"/>
      <c r="K578" s="21"/>
      <c r="L578" s="21"/>
      <c r="M578" s="21"/>
      <c r="N578" s="21"/>
      <c r="O578" s="21"/>
      <c r="P578" s="21"/>
      <c r="Q578" s="21"/>
      <c r="R578" s="20"/>
      <c r="S578" s="22">
        <f t="shared" si="37"/>
        <v>0</v>
      </c>
      <c r="T578" s="22">
        <f>COUNTIF($V$4:V578,V578)</f>
        <v>307</v>
      </c>
      <c r="U578" s="22" t="str">
        <f>IF(T578=1,COUNTIF($T$4:T578,1),"")</f>
        <v/>
      </c>
      <c r="V578" s="23" t="str">
        <f t="shared" si="38"/>
        <v/>
      </c>
      <c r="W578" s="23">
        <f t="shared" si="39"/>
        <v>0</v>
      </c>
      <c r="X578" s="24"/>
      <c r="Y578" s="23"/>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c r="EB578" s="9"/>
      <c r="EC578" s="9"/>
      <c r="ED578" s="9"/>
      <c r="EE578" s="9"/>
      <c r="EF578" s="9"/>
      <c r="EG578" s="9"/>
      <c r="EH578" s="9"/>
      <c r="EI578" s="9"/>
      <c r="EJ578" s="9"/>
      <c r="EK578" s="9"/>
      <c r="EL578" s="9"/>
      <c r="EM578" s="9"/>
      <c r="EN578" s="9"/>
      <c r="EO578" s="9"/>
      <c r="EP578" s="9"/>
      <c r="EQ578" s="9"/>
      <c r="ER578" s="9"/>
      <c r="ES578" s="9"/>
      <c r="ET578" s="9"/>
      <c r="EU578" s="9"/>
      <c r="EV578" s="9"/>
      <c r="EW578" s="9"/>
      <c r="EX578" s="9"/>
      <c r="EY578" s="9"/>
      <c r="EZ578" s="9"/>
      <c r="FA578" s="9"/>
      <c r="FB578" s="9"/>
      <c r="FC578" s="9"/>
      <c r="FD578" s="9"/>
      <c r="FE578" s="9"/>
      <c r="FF578" s="9"/>
      <c r="FG578" s="9"/>
      <c r="FH578" s="9"/>
      <c r="FI578" s="9"/>
      <c r="FJ578" s="9"/>
      <c r="FK578" s="9"/>
      <c r="FL578" s="9"/>
      <c r="FM578" s="9"/>
      <c r="FN578" s="9"/>
      <c r="FO578" s="9"/>
      <c r="FP578" s="9"/>
      <c r="FQ578" s="9"/>
      <c r="FR578" s="9"/>
      <c r="FS578" s="9"/>
      <c r="FT578" s="9"/>
      <c r="FU578" s="9"/>
      <c r="FV578" s="9"/>
      <c r="FW578" s="9"/>
      <c r="FX578" s="9"/>
      <c r="FY578" s="9"/>
      <c r="FZ578" s="9"/>
      <c r="GA578" s="9"/>
      <c r="GB578" s="9"/>
      <c r="GC578" s="9"/>
      <c r="GD578" s="9"/>
      <c r="GE578" s="9"/>
      <c r="GF578" s="9"/>
      <c r="GG578" s="9"/>
      <c r="GH578" s="9"/>
      <c r="GI578" s="9"/>
      <c r="GJ578" s="9"/>
      <c r="GK578" s="9"/>
      <c r="GL578" s="9"/>
      <c r="GM578" s="9"/>
      <c r="GN578" s="9"/>
      <c r="GO578" s="9"/>
      <c r="GP578" s="9"/>
      <c r="GQ578" s="9"/>
      <c r="GR578" s="9"/>
      <c r="GS578" s="9"/>
      <c r="GT578" s="9"/>
      <c r="GU578" s="9"/>
      <c r="GV578" s="9"/>
      <c r="GW578" s="9"/>
      <c r="GX578" s="9"/>
      <c r="GY578" s="9"/>
      <c r="GZ578" s="9"/>
      <c r="HA578" s="9"/>
      <c r="HB578" s="9"/>
      <c r="HC578" s="9"/>
      <c r="HD578" s="9"/>
      <c r="HE578" s="9"/>
      <c r="HF578" s="9"/>
      <c r="HG578" s="9"/>
      <c r="HH578" s="9"/>
      <c r="HI578" s="9"/>
      <c r="HJ578" s="9"/>
      <c r="HK578" s="9"/>
      <c r="HL578" s="9"/>
      <c r="HM578" s="9"/>
      <c r="HN578" s="9"/>
      <c r="HO578" s="9"/>
      <c r="HP578" s="9"/>
      <c r="HQ578" s="9"/>
      <c r="HR578" s="9"/>
      <c r="HS578" s="9"/>
      <c r="HT578" s="9"/>
      <c r="HU578" s="9"/>
      <c r="HV578" s="9"/>
      <c r="HW578" s="9"/>
      <c r="HX578" s="9"/>
      <c r="HY578" s="9"/>
      <c r="HZ578" s="9"/>
      <c r="IA578" s="9"/>
      <c r="IB578" s="9"/>
      <c r="IC578" s="9"/>
      <c r="ID578" s="9"/>
      <c r="IE578" s="9"/>
      <c r="IF578" s="9"/>
      <c r="IG578" s="9"/>
      <c r="IH578" s="9"/>
      <c r="II578" s="9"/>
      <c r="IJ578" s="9"/>
      <c r="IK578" s="9"/>
      <c r="IL578" s="9"/>
      <c r="IM578" s="9"/>
      <c r="IN578" s="9"/>
      <c r="IO578" s="9"/>
      <c r="IP578" s="9"/>
      <c r="IQ578" s="9"/>
      <c r="IR578" s="9"/>
      <c r="IS578" s="9"/>
      <c r="IT578" s="9"/>
      <c r="IU578" s="9"/>
      <c r="IV578" s="9"/>
    </row>
    <row r="579" spans="1:256" outlineLevel="1">
      <c r="A579" s="16"/>
      <c r="B579" s="44"/>
      <c r="C579" s="20"/>
      <c r="D579" s="20"/>
      <c r="E579" s="20"/>
      <c r="F579" s="21"/>
      <c r="G579" s="21"/>
      <c r="H579" s="21"/>
      <c r="I579" s="21"/>
      <c r="J579" s="21"/>
      <c r="K579" s="21"/>
      <c r="L579" s="21"/>
      <c r="M579" s="21"/>
      <c r="N579" s="21"/>
      <c r="O579" s="21"/>
      <c r="P579" s="21"/>
      <c r="Q579" s="21"/>
      <c r="R579" s="20"/>
      <c r="S579" s="22">
        <f t="shared" si="37"/>
        <v>0</v>
      </c>
      <c r="T579" s="22">
        <f>COUNTIF($V$4:V579,V579)</f>
        <v>308</v>
      </c>
      <c r="U579" s="22" t="str">
        <f>IF(T579=1,COUNTIF($T$4:T579,1),"")</f>
        <v/>
      </c>
      <c r="V579" s="23" t="str">
        <f t="shared" si="38"/>
        <v/>
      </c>
      <c r="W579" s="23">
        <f t="shared" si="39"/>
        <v>0</v>
      </c>
      <c r="X579" s="24"/>
      <c r="Y579" s="23"/>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c r="EB579" s="9"/>
      <c r="EC579" s="9"/>
      <c r="ED579" s="9"/>
      <c r="EE579" s="9"/>
      <c r="EF579" s="9"/>
      <c r="EG579" s="9"/>
      <c r="EH579" s="9"/>
      <c r="EI579" s="9"/>
      <c r="EJ579" s="9"/>
      <c r="EK579" s="9"/>
      <c r="EL579" s="9"/>
      <c r="EM579" s="9"/>
      <c r="EN579" s="9"/>
      <c r="EO579" s="9"/>
      <c r="EP579" s="9"/>
      <c r="EQ579" s="9"/>
      <c r="ER579" s="9"/>
      <c r="ES579" s="9"/>
      <c r="ET579" s="9"/>
      <c r="EU579" s="9"/>
      <c r="EV579" s="9"/>
      <c r="EW579" s="9"/>
      <c r="EX579" s="9"/>
      <c r="EY579" s="9"/>
      <c r="EZ579" s="9"/>
      <c r="FA579" s="9"/>
      <c r="FB579" s="9"/>
      <c r="FC579" s="9"/>
      <c r="FD579" s="9"/>
      <c r="FE579" s="9"/>
      <c r="FF579" s="9"/>
      <c r="FG579" s="9"/>
      <c r="FH579" s="9"/>
      <c r="FI579" s="9"/>
      <c r="FJ579" s="9"/>
      <c r="FK579" s="9"/>
      <c r="FL579" s="9"/>
      <c r="FM579" s="9"/>
      <c r="FN579" s="9"/>
      <c r="FO579" s="9"/>
      <c r="FP579" s="9"/>
      <c r="FQ579" s="9"/>
      <c r="FR579" s="9"/>
      <c r="FS579" s="9"/>
      <c r="FT579" s="9"/>
      <c r="FU579" s="9"/>
      <c r="FV579" s="9"/>
      <c r="FW579" s="9"/>
      <c r="FX579" s="9"/>
      <c r="FY579" s="9"/>
      <c r="FZ579" s="9"/>
      <c r="GA579" s="9"/>
      <c r="GB579" s="9"/>
      <c r="GC579" s="9"/>
      <c r="GD579" s="9"/>
      <c r="GE579" s="9"/>
      <c r="GF579" s="9"/>
      <c r="GG579" s="9"/>
      <c r="GH579" s="9"/>
      <c r="GI579" s="9"/>
      <c r="GJ579" s="9"/>
      <c r="GK579" s="9"/>
      <c r="GL579" s="9"/>
      <c r="GM579" s="9"/>
      <c r="GN579" s="9"/>
      <c r="GO579" s="9"/>
      <c r="GP579" s="9"/>
      <c r="GQ579" s="9"/>
      <c r="GR579" s="9"/>
      <c r="GS579" s="9"/>
      <c r="GT579" s="9"/>
      <c r="GU579" s="9"/>
      <c r="GV579" s="9"/>
      <c r="GW579" s="9"/>
      <c r="GX579" s="9"/>
      <c r="GY579" s="9"/>
      <c r="GZ579" s="9"/>
      <c r="HA579" s="9"/>
      <c r="HB579" s="9"/>
      <c r="HC579" s="9"/>
      <c r="HD579" s="9"/>
      <c r="HE579" s="9"/>
      <c r="HF579" s="9"/>
      <c r="HG579" s="9"/>
      <c r="HH579" s="9"/>
      <c r="HI579" s="9"/>
      <c r="HJ579" s="9"/>
      <c r="HK579" s="9"/>
      <c r="HL579" s="9"/>
      <c r="HM579" s="9"/>
      <c r="HN579" s="9"/>
      <c r="HO579" s="9"/>
      <c r="HP579" s="9"/>
      <c r="HQ579" s="9"/>
      <c r="HR579" s="9"/>
      <c r="HS579" s="9"/>
      <c r="HT579" s="9"/>
      <c r="HU579" s="9"/>
      <c r="HV579" s="9"/>
      <c r="HW579" s="9"/>
      <c r="HX579" s="9"/>
      <c r="HY579" s="9"/>
      <c r="HZ579" s="9"/>
      <c r="IA579" s="9"/>
      <c r="IB579" s="9"/>
      <c r="IC579" s="9"/>
      <c r="ID579" s="9"/>
      <c r="IE579" s="9"/>
      <c r="IF579" s="9"/>
      <c r="IG579" s="9"/>
      <c r="IH579" s="9"/>
      <c r="II579" s="9"/>
      <c r="IJ579" s="9"/>
      <c r="IK579" s="9"/>
      <c r="IL579" s="9"/>
      <c r="IM579" s="9"/>
      <c r="IN579" s="9"/>
      <c r="IO579" s="9"/>
      <c r="IP579" s="9"/>
      <c r="IQ579" s="9"/>
      <c r="IR579" s="9"/>
      <c r="IS579" s="9"/>
      <c r="IT579" s="9"/>
      <c r="IU579" s="9"/>
      <c r="IV579" s="9"/>
    </row>
    <row r="580" spans="1:256" outlineLevel="1">
      <c r="A580" s="16"/>
      <c r="B580" s="44"/>
      <c r="C580" s="20"/>
      <c r="D580" s="20"/>
      <c r="E580" s="20"/>
      <c r="F580" s="21"/>
      <c r="G580" s="21"/>
      <c r="H580" s="21"/>
      <c r="I580" s="21"/>
      <c r="J580" s="21"/>
      <c r="K580" s="21"/>
      <c r="L580" s="21"/>
      <c r="M580" s="21"/>
      <c r="N580" s="21"/>
      <c r="O580" s="21"/>
      <c r="P580" s="21"/>
      <c r="Q580" s="21"/>
      <c r="R580" s="20"/>
      <c r="S580" s="22">
        <f t="shared" si="37"/>
        <v>0</v>
      </c>
      <c r="T580" s="22">
        <f>COUNTIF($V$4:V580,V580)</f>
        <v>309</v>
      </c>
      <c r="U580" s="22" t="str">
        <f>IF(T580=1,COUNTIF($T$4:T580,1),"")</f>
        <v/>
      </c>
      <c r="V580" s="23" t="str">
        <f t="shared" si="38"/>
        <v/>
      </c>
      <c r="W580" s="23">
        <f t="shared" si="39"/>
        <v>0</v>
      </c>
      <c r="X580" s="24"/>
      <c r="Y580" s="23"/>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c r="EB580" s="9"/>
      <c r="EC580" s="9"/>
      <c r="ED580" s="9"/>
      <c r="EE580" s="9"/>
      <c r="EF580" s="9"/>
      <c r="EG580" s="9"/>
      <c r="EH580" s="9"/>
      <c r="EI580" s="9"/>
      <c r="EJ580" s="9"/>
      <c r="EK580" s="9"/>
      <c r="EL580" s="9"/>
      <c r="EM580" s="9"/>
      <c r="EN580" s="9"/>
      <c r="EO580" s="9"/>
      <c r="EP580" s="9"/>
      <c r="EQ580" s="9"/>
      <c r="ER580" s="9"/>
      <c r="ES580" s="9"/>
      <c r="ET580" s="9"/>
      <c r="EU580" s="9"/>
      <c r="EV580" s="9"/>
      <c r="EW580" s="9"/>
      <c r="EX580" s="9"/>
      <c r="EY580" s="9"/>
      <c r="EZ580" s="9"/>
      <c r="FA580" s="9"/>
      <c r="FB580" s="9"/>
      <c r="FC580" s="9"/>
      <c r="FD580" s="9"/>
      <c r="FE580" s="9"/>
      <c r="FF580" s="9"/>
      <c r="FG580" s="9"/>
      <c r="FH580" s="9"/>
      <c r="FI580" s="9"/>
      <c r="FJ580" s="9"/>
      <c r="FK580" s="9"/>
      <c r="FL580" s="9"/>
      <c r="FM580" s="9"/>
      <c r="FN580" s="9"/>
      <c r="FO580" s="9"/>
      <c r="FP580" s="9"/>
      <c r="FQ580" s="9"/>
      <c r="FR580" s="9"/>
      <c r="FS580" s="9"/>
      <c r="FT580" s="9"/>
      <c r="FU580" s="9"/>
      <c r="FV580" s="9"/>
      <c r="FW580" s="9"/>
      <c r="FX580" s="9"/>
      <c r="FY580" s="9"/>
      <c r="FZ580" s="9"/>
      <c r="GA580" s="9"/>
      <c r="GB580" s="9"/>
      <c r="GC580" s="9"/>
      <c r="GD580" s="9"/>
      <c r="GE580" s="9"/>
      <c r="GF580" s="9"/>
      <c r="GG580" s="9"/>
      <c r="GH580" s="9"/>
      <c r="GI580" s="9"/>
      <c r="GJ580" s="9"/>
      <c r="GK580" s="9"/>
      <c r="GL580" s="9"/>
      <c r="GM580" s="9"/>
      <c r="GN580" s="9"/>
      <c r="GO580" s="9"/>
      <c r="GP580" s="9"/>
      <c r="GQ580" s="9"/>
      <c r="GR580" s="9"/>
      <c r="GS580" s="9"/>
      <c r="GT580" s="9"/>
      <c r="GU580" s="9"/>
      <c r="GV580" s="9"/>
      <c r="GW580" s="9"/>
      <c r="GX580" s="9"/>
      <c r="GY580" s="9"/>
      <c r="GZ580" s="9"/>
      <c r="HA580" s="9"/>
      <c r="HB580" s="9"/>
      <c r="HC580" s="9"/>
      <c r="HD580" s="9"/>
      <c r="HE580" s="9"/>
      <c r="HF580" s="9"/>
      <c r="HG580" s="9"/>
      <c r="HH580" s="9"/>
      <c r="HI580" s="9"/>
      <c r="HJ580" s="9"/>
      <c r="HK580" s="9"/>
      <c r="HL580" s="9"/>
      <c r="HM580" s="9"/>
      <c r="HN580" s="9"/>
      <c r="HO580" s="9"/>
      <c r="HP580" s="9"/>
      <c r="HQ580" s="9"/>
      <c r="HR580" s="9"/>
      <c r="HS580" s="9"/>
      <c r="HT580" s="9"/>
      <c r="HU580" s="9"/>
      <c r="HV580" s="9"/>
      <c r="HW580" s="9"/>
      <c r="HX580" s="9"/>
      <c r="HY580" s="9"/>
      <c r="HZ580" s="9"/>
      <c r="IA580" s="9"/>
      <c r="IB580" s="9"/>
      <c r="IC580" s="9"/>
      <c r="ID580" s="9"/>
      <c r="IE580" s="9"/>
      <c r="IF580" s="9"/>
      <c r="IG580" s="9"/>
      <c r="IH580" s="9"/>
      <c r="II580" s="9"/>
      <c r="IJ580" s="9"/>
      <c r="IK580" s="9"/>
      <c r="IL580" s="9"/>
      <c r="IM580" s="9"/>
      <c r="IN580" s="9"/>
      <c r="IO580" s="9"/>
      <c r="IP580" s="9"/>
      <c r="IQ580" s="9"/>
      <c r="IR580" s="9"/>
      <c r="IS580" s="9"/>
      <c r="IT580" s="9"/>
      <c r="IU580" s="9"/>
      <c r="IV580" s="9"/>
    </row>
    <row r="581" spans="1:256" outlineLevel="1">
      <c r="A581" s="16"/>
      <c r="B581" s="44"/>
      <c r="C581" s="20"/>
      <c r="D581" s="20"/>
      <c r="E581" s="20"/>
      <c r="F581" s="21"/>
      <c r="G581" s="21"/>
      <c r="H581" s="21"/>
      <c r="I581" s="21"/>
      <c r="J581" s="21"/>
      <c r="K581" s="21"/>
      <c r="L581" s="21"/>
      <c r="M581" s="21"/>
      <c r="N581" s="21"/>
      <c r="O581" s="21"/>
      <c r="P581" s="21"/>
      <c r="Q581" s="21"/>
      <c r="R581" s="20"/>
      <c r="S581" s="22">
        <f t="shared" si="37"/>
        <v>0</v>
      </c>
      <c r="T581" s="22">
        <f>COUNTIF($V$4:V581,V581)</f>
        <v>310</v>
      </c>
      <c r="U581" s="22" t="str">
        <f>IF(T581=1,COUNTIF($T$4:T581,1),"")</f>
        <v/>
      </c>
      <c r="V581" s="23" t="str">
        <f t="shared" si="38"/>
        <v/>
      </c>
      <c r="W581" s="23">
        <f t="shared" si="39"/>
        <v>0</v>
      </c>
      <c r="X581" s="24"/>
      <c r="Y581" s="23"/>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c r="EB581" s="9"/>
      <c r="EC581" s="9"/>
      <c r="ED581" s="9"/>
      <c r="EE581" s="9"/>
      <c r="EF581" s="9"/>
      <c r="EG581" s="9"/>
      <c r="EH581" s="9"/>
      <c r="EI581" s="9"/>
      <c r="EJ581" s="9"/>
      <c r="EK581" s="9"/>
      <c r="EL581" s="9"/>
      <c r="EM581" s="9"/>
      <c r="EN581" s="9"/>
      <c r="EO581" s="9"/>
      <c r="EP581" s="9"/>
      <c r="EQ581" s="9"/>
      <c r="ER581" s="9"/>
      <c r="ES581" s="9"/>
      <c r="ET581" s="9"/>
      <c r="EU581" s="9"/>
      <c r="EV581" s="9"/>
      <c r="EW581" s="9"/>
      <c r="EX581" s="9"/>
      <c r="EY581" s="9"/>
      <c r="EZ581" s="9"/>
      <c r="FA581" s="9"/>
      <c r="FB581" s="9"/>
      <c r="FC581" s="9"/>
      <c r="FD581" s="9"/>
      <c r="FE581" s="9"/>
      <c r="FF581" s="9"/>
      <c r="FG581" s="9"/>
      <c r="FH581" s="9"/>
      <c r="FI581" s="9"/>
      <c r="FJ581" s="9"/>
      <c r="FK581" s="9"/>
      <c r="FL581" s="9"/>
      <c r="FM581" s="9"/>
      <c r="FN581" s="9"/>
      <c r="FO581" s="9"/>
      <c r="FP581" s="9"/>
      <c r="FQ581" s="9"/>
      <c r="FR581" s="9"/>
      <c r="FS581" s="9"/>
      <c r="FT581" s="9"/>
      <c r="FU581" s="9"/>
      <c r="FV581" s="9"/>
      <c r="FW581" s="9"/>
      <c r="FX581" s="9"/>
      <c r="FY581" s="9"/>
      <c r="FZ581" s="9"/>
      <c r="GA581" s="9"/>
      <c r="GB581" s="9"/>
      <c r="GC581" s="9"/>
      <c r="GD581" s="9"/>
      <c r="GE581" s="9"/>
      <c r="GF581" s="9"/>
      <c r="GG581" s="9"/>
      <c r="GH581" s="9"/>
      <c r="GI581" s="9"/>
      <c r="GJ581" s="9"/>
      <c r="GK581" s="9"/>
      <c r="GL581" s="9"/>
      <c r="GM581" s="9"/>
      <c r="GN581" s="9"/>
      <c r="GO581" s="9"/>
      <c r="GP581" s="9"/>
      <c r="GQ581" s="9"/>
      <c r="GR581" s="9"/>
      <c r="GS581" s="9"/>
      <c r="GT581" s="9"/>
      <c r="GU581" s="9"/>
      <c r="GV581" s="9"/>
      <c r="GW581" s="9"/>
      <c r="GX581" s="9"/>
      <c r="GY581" s="9"/>
      <c r="GZ581" s="9"/>
      <c r="HA581" s="9"/>
      <c r="HB581" s="9"/>
      <c r="HC581" s="9"/>
      <c r="HD581" s="9"/>
      <c r="HE581" s="9"/>
      <c r="HF581" s="9"/>
      <c r="HG581" s="9"/>
      <c r="HH581" s="9"/>
      <c r="HI581" s="9"/>
      <c r="HJ581" s="9"/>
      <c r="HK581" s="9"/>
      <c r="HL581" s="9"/>
      <c r="HM581" s="9"/>
      <c r="HN581" s="9"/>
      <c r="HO581" s="9"/>
      <c r="HP581" s="9"/>
      <c r="HQ581" s="9"/>
      <c r="HR581" s="9"/>
      <c r="HS581" s="9"/>
      <c r="HT581" s="9"/>
      <c r="HU581" s="9"/>
      <c r="HV581" s="9"/>
      <c r="HW581" s="9"/>
      <c r="HX581" s="9"/>
      <c r="HY581" s="9"/>
      <c r="HZ581" s="9"/>
      <c r="IA581" s="9"/>
      <c r="IB581" s="9"/>
      <c r="IC581" s="9"/>
      <c r="ID581" s="9"/>
      <c r="IE581" s="9"/>
      <c r="IF581" s="9"/>
      <c r="IG581" s="9"/>
      <c r="IH581" s="9"/>
      <c r="II581" s="9"/>
      <c r="IJ581" s="9"/>
      <c r="IK581" s="9"/>
      <c r="IL581" s="9"/>
      <c r="IM581" s="9"/>
      <c r="IN581" s="9"/>
      <c r="IO581" s="9"/>
      <c r="IP581" s="9"/>
      <c r="IQ581" s="9"/>
      <c r="IR581" s="9"/>
      <c r="IS581" s="9"/>
      <c r="IT581" s="9"/>
      <c r="IU581" s="9"/>
      <c r="IV581" s="9"/>
    </row>
    <row r="582" spans="1:256" outlineLevel="1">
      <c r="A582" s="16"/>
      <c r="B582" s="44"/>
      <c r="C582" s="20"/>
      <c r="D582" s="20"/>
      <c r="E582" s="20"/>
      <c r="F582" s="21"/>
      <c r="G582" s="21"/>
      <c r="H582" s="21"/>
      <c r="I582" s="21"/>
      <c r="J582" s="21"/>
      <c r="K582" s="21"/>
      <c r="L582" s="21"/>
      <c r="M582" s="21"/>
      <c r="N582" s="21"/>
      <c r="O582" s="21"/>
      <c r="P582" s="21"/>
      <c r="Q582" s="21"/>
      <c r="R582" s="20"/>
      <c r="S582" s="22">
        <f t="shared" ref="S582:S601" si="40">A582</f>
        <v>0</v>
      </c>
      <c r="T582" s="22">
        <f>COUNTIF($V$4:V582,V582)</f>
        <v>311</v>
      </c>
      <c r="U582" s="22" t="str">
        <f>IF(T582=1,COUNTIF($T$4:T582,1),"")</f>
        <v/>
      </c>
      <c r="V582" s="23" t="str">
        <f t="shared" ref="V582:V601" si="41">$E582&amp;$C582</f>
        <v/>
      </c>
      <c r="W582" s="23">
        <f t="shared" si="39"/>
        <v>0</v>
      </c>
      <c r="X582" s="24"/>
      <c r="Y582" s="23"/>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c r="EB582" s="9"/>
      <c r="EC582" s="9"/>
      <c r="ED582" s="9"/>
      <c r="EE582" s="9"/>
      <c r="EF582" s="9"/>
      <c r="EG582" s="9"/>
      <c r="EH582" s="9"/>
      <c r="EI582" s="9"/>
      <c r="EJ582" s="9"/>
      <c r="EK582" s="9"/>
      <c r="EL582" s="9"/>
      <c r="EM582" s="9"/>
      <c r="EN582" s="9"/>
      <c r="EO582" s="9"/>
      <c r="EP582" s="9"/>
      <c r="EQ582" s="9"/>
      <c r="ER582" s="9"/>
      <c r="ES582" s="9"/>
      <c r="ET582" s="9"/>
      <c r="EU582" s="9"/>
      <c r="EV582" s="9"/>
      <c r="EW582" s="9"/>
      <c r="EX582" s="9"/>
      <c r="EY582" s="9"/>
      <c r="EZ582" s="9"/>
      <c r="FA582" s="9"/>
      <c r="FB582" s="9"/>
      <c r="FC582" s="9"/>
      <c r="FD582" s="9"/>
      <c r="FE582" s="9"/>
      <c r="FF582" s="9"/>
      <c r="FG582" s="9"/>
      <c r="FH582" s="9"/>
      <c r="FI582" s="9"/>
      <c r="FJ582" s="9"/>
      <c r="FK582" s="9"/>
      <c r="FL582" s="9"/>
      <c r="FM582" s="9"/>
      <c r="FN582" s="9"/>
      <c r="FO582" s="9"/>
      <c r="FP582" s="9"/>
      <c r="FQ582" s="9"/>
      <c r="FR582" s="9"/>
      <c r="FS582" s="9"/>
      <c r="FT582" s="9"/>
      <c r="FU582" s="9"/>
      <c r="FV582" s="9"/>
      <c r="FW582" s="9"/>
      <c r="FX582" s="9"/>
      <c r="FY582" s="9"/>
      <c r="FZ582" s="9"/>
      <c r="GA582" s="9"/>
      <c r="GB582" s="9"/>
      <c r="GC582" s="9"/>
      <c r="GD582" s="9"/>
      <c r="GE582" s="9"/>
      <c r="GF582" s="9"/>
      <c r="GG582" s="9"/>
      <c r="GH582" s="9"/>
      <c r="GI582" s="9"/>
      <c r="GJ582" s="9"/>
      <c r="GK582" s="9"/>
      <c r="GL582" s="9"/>
      <c r="GM582" s="9"/>
      <c r="GN582" s="9"/>
      <c r="GO582" s="9"/>
      <c r="GP582" s="9"/>
      <c r="GQ582" s="9"/>
      <c r="GR582" s="9"/>
      <c r="GS582" s="9"/>
      <c r="GT582" s="9"/>
      <c r="GU582" s="9"/>
      <c r="GV582" s="9"/>
      <c r="GW582" s="9"/>
      <c r="GX582" s="9"/>
      <c r="GY582" s="9"/>
      <c r="GZ582" s="9"/>
      <c r="HA582" s="9"/>
      <c r="HB582" s="9"/>
      <c r="HC582" s="9"/>
      <c r="HD582" s="9"/>
      <c r="HE582" s="9"/>
      <c r="HF582" s="9"/>
      <c r="HG582" s="9"/>
      <c r="HH582" s="9"/>
      <c r="HI582" s="9"/>
      <c r="HJ582" s="9"/>
      <c r="HK582" s="9"/>
      <c r="HL582" s="9"/>
      <c r="HM582" s="9"/>
      <c r="HN582" s="9"/>
      <c r="HO582" s="9"/>
      <c r="HP582" s="9"/>
      <c r="HQ582" s="9"/>
      <c r="HR582" s="9"/>
      <c r="HS582" s="9"/>
      <c r="HT582" s="9"/>
      <c r="HU582" s="9"/>
      <c r="HV582" s="9"/>
      <c r="HW582" s="9"/>
      <c r="HX582" s="9"/>
      <c r="HY582" s="9"/>
      <c r="HZ582" s="9"/>
      <c r="IA582" s="9"/>
      <c r="IB582" s="9"/>
      <c r="IC582" s="9"/>
      <c r="ID582" s="9"/>
      <c r="IE582" s="9"/>
      <c r="IF582" s="9"/>
      <c r="IG582" s="9"/>
      <c r="IH582" s="9"/>
      <c r="II582" s="9"/>
      <c r="IJ582" s="9"/>
      <c r="IK582" s="9"/>
      <c r="IL582" s="9"/>
      <c r="IM582" s="9"/>
      <c r="IN582" s="9"/>
      <c r="IO582" s="9"/>
      <c r="IP582" s="9"/>
      <c r="IQ582" s="9"/>
      <c r="IR582" s="9"/>
      <c r="IS582" s="9"/>
      <c r="IT582" s="9"/>
      <c r="IU582" s="9"/>
      <c r="IV582" s="9"/>
    </row>
    <row r="583" spans="1:256" outlineLevel="1">
      <c r="A583" s="16"/>
      <c r="B583" s="44"/>
      <c r="C583" s="20"/>
      <c r="D583" s="20"/>
      <c r="E583" s="20"/>
      <c r="F583" s="21"/>
      <c r="G583" s="21"/>
      <c r="H583" s="21"/>
      <c r="I583" s="21"/>
      <c r="J583" s="21"/>
      <c r="K583" s="21"/>
      <c r="L583" s="21"/>
      <c r="M583" s="21"/>
      <c r="N583" s="21"/>
      <c r="O583" s="21"/>
      <c r="P583" s="21"/>
      <c r="Q583" s="21"/>
      <c r="R583" s="20"/>
      <c r="S583" s="22">
        <f t="shared" si="40"/>
        <v>0</v>
      </c>
      <c r="T583" s="22">
        <f>COUNTIF($V$4:V583,V583)</f>
        <v>312</v>
      </c>
      <c r="U583" s="22" t="str">
        <f>IF(T583=1,COUNTIF($T$4:T583,1),"")</f>
        <v/>
      </c>
      <c r="V583" s="23" t="str">
        <f t="shared" si="41"/>
        <v/>
      </c>
      <c r="W583" s="23">
        <f t="shared" si="39"/>
        <v>0</v>
      </c>
      <c r="X583" s="24"/>
      <c r="Y583" s="23"/>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c r="EB583" s="9"/>
      <c r="EC583" s="9"/>
      <c r="ED583" s="9"/>
      <c r="EE583" s="9"/>
      <c r="EF583" s="9"/>
      <c r="EG583" s="9"/>
      <c r="EH583" s="9"/>
      <c r="EI583" s="9"/>
      <c r="EJ583" s="9"/>
      <c r="EK583" s="9"/>
      <c r="EL583" s="9"/>
      <c r="EM583" s="9"/>
      <c r="EN583" s="9"/>
      <c r="EO583" s="9"/>
      <c r="EP583" s="9"/>
      <c r="EQ583" s="9"/>
      <c r="ER583" s="9"/>
      <c r="ES583" s="9"/>
      <c r="ET583" s="9"/>
      <c r="EU583" s="9"/>
      <c r="EV583" s="9"/>
      <c r="EW583" s="9"/>
      <c r="EX583" s="9"/>
      <c r="EY583" s="9"/>
      <c r="EZ583" s="9"/>
      <c r="FA583" s="9"/>
      <c r="FB583" s="9"/>
      <c r="FC583" s="9"/>
      <c r="FD583" s="9"/>
      <c r="FE583" s="9"/>
      <c r="FF583" s="9"/>
      <c r="FG583" s="9"/>
      <c r="FH583" s="9"/>
      <c r="FI583" s="9"/>
      <c r="FJ583" s="9"/>
      <c r="FK583" s="9"/>
      <c r="FL583" s="9"/>
      <c r="FM583" s="9"/>
      <c r="FN583" s="9"/>
      <c r="FO583" s="9"/>
      <c r="FP583" s="9"/>
      <c r="FQ583" s="9"/>
      <c r="FR583" s="9"/>
      <c r="FS583" s="9"/>
      <c r="FT583" s="9"/>
      <c r="FU583" s="9"/>
      <c r="FV583" s="9"/>
      <c r="FW583" s="9"/>
      <c r="FX583" s="9"/>
      <c r="FY583" s="9"/>
      <c r="FZ583" s="9"/>
      <c r="GA583" s="9"/>
      <c r="GB583" s="9"/>
      <c r="GC583" s="9"/>
      <c r="GD583" s="9"/>
      <c r="GE583" s="9"/>
      <c r="GF583" s="9"/>
      <c r="GG583" s="9"/>
      <c r="GH583" s="9"/>
      <c r="GI583" s="9"/>
      <c r="GJ583" s="9"/>
      <c r="GK583" s="9"/>
      <c r="GL583" s="9"/>
      <c r="GM583" s="9"/>
      <c r="GN583" s="9"/>
      <c r="GO583" s="9"/>
      <c r="GP583" s="9"/>
      <c r="GQ583" s="9"/>
      <c r="GR583" s="9"/>
      <c r="GS583" s="9"/>
      <c r="GT583" s="9"/>
      <c r="GU583" s="9"/>
      <c r="GV583" s="9"/>
      <c r="GW583" s="9"/>
      <c r="GX583" s="9"/>
      <c r="GY583" s="9"/>
      <c r="GZ583" s="9"/>
      <c r="HA583" s="9"/>
      <c r="HB583" s="9"/>
      <c r="HC583" s="9"/>
      <c r="HD583" s="9"/>
      <c r="HE583" s="9"/>
      <c r="HF583" s="9"/>
      <c r="HG583" s="9"/>
      <c r="HH583" s="9"/>
      <c r="HI583" s="9"/>
      <c r="HJ583" s="9"/>
      <c r="HK583" s="9"/>
      <c r="HL583" s="9"/>
      <c r="HM583" s="9"/>
      <c r="HN583" s="9"/>
      <c r="HO583" s="9"/>
      <c r="HP583" s="9"/>
      <c r="HQ583" s="9"/>
      <c r="HR583" s="9"/>
      <c r="HS583" s="9"/>
      <c r="HT583" s="9"/>
      <c r="HU583" s="9"/>
      <c r="HV583" s="9"/>
      <c r="HW583" s="9"/>
      <c r="HX583" s="9"/>
      <c r="HY583" s="9"/>
      <c r="HZ583" s="9"/>
      <c r="IA583" s="9"/>
      <c r="IB583" s="9"/>
      <c r="IC583" s="9"/>
      <c r="ID583" s="9"/>
      <c r="IE583" s="9"/>
      <c r="IF583" s="9"/>
      <c r="IG583" s="9"/>
      <c r="IH583" s="9"/>
      <c r="II583" s="9"/>
      <c r="IJ583" s="9"/>
      <c r="IK583" s="9"/>
      <c r="IL583" s="9"/>
      <c r="IM583" s="9"/>
      <c r="IN583" s="9"/>
      <c r="IO583" s="9"/>
      <c r="IP583" s="9"/>
      <c r="IQ583" s="9"/>
      <c r="IR583" s="9"/>
      <c r="IS583" s="9"/>
      <c r="IT583" s="9"/>
      <c r="IU583" s="9"/>
      <c r="IV583" s="9"/>
    </row>
    <row r="584" spans="1:256" outlineLevel="1">
      <c r="A584" s="16"/>
      <c r="B584" s="44"/>
      <c r="C584" s="20"/>
      <c r="D584" s="20"/>
      <c r="E584" s="20"/>
      <c r="F584" s="21"/>
      <c r="G584" s="21"/>
      <c r="H584" s="21"/>
      <c r="I584" s="21"/>
      <c r="J584" s="21"/>
      <c r="K584" s="21"/>
      <c r="L584" s="21"/>
      <c r="M584" s="21"/>
      <c r="N584" s="21"/>
      <c r="O584" s="21"/>
      <c r="P584" s="21"/>
      <c r="Q584" s="21"/>
      <c r="R584" s="20"/>
      <c r="S584" s="22">
        <f t="shared" si="40"/>
        <v>0</v>
      </c>
      <c r="T584" s="22">
        <f>COUNTIF($V$4:V584,V584)</f>
        <v>313</v>
      </c>
      <c r="U584" s="22" t="str">
        <f>IF(T584=1,COUNTIF($T$4:T584,1),"")</f>
        <v/>
      </c>
      <c r="V584" s="23" t="str">
        <f t="shared" si="41"/>
        <v/>
      </c>
      <c r="W584" s="23">
        <f t="shared" si="39"/>
        <v>0</v>
      </c>
      <c r="X584" s="24"/>
      <c r="Y584" s="23"/>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c r="EB584" s="9"/>
      <c r="EC584" s="9"/>
      <c r="ED584" s="9"/>
      <c r="EE584" s="9"/>
      <c r="EF584" s="9"/>
      <c r="EG584" s="9"/>
      <c r="EH584" s="9"/>
      <c r="EI584" s="9"/>
      <c r="EJ584" s="9"/>
      <c r="EK584" s="9"/>
      <c r="EL584" s="9"/>
      <c r="EM584" s="9"/>
      <c r="EN584" s="9"/>
      <c r="EO584" s="9"/>
      <c r="EP584" s="9"/>
      <c r="EQ584" s="9"/>
      <c r="ER584" s="9"/>
      <c r="ES584" s="9"/>
      <c r="ET584" s="9"/>
      <c r="EU584" s="9"/>
      <c r="EV584" s="9"/>
      <c r="EW584" s="9"/>
      <c r="EX584" s="9"/>
      <c r="EY584" s="9"/>
      <c r="EZ584" s="9"/>
      <c r="FA584" s="9"/>
      <c r="FB584" s="9"/>
      <c r="FC584" s="9"/>
      <c r="FD584" s="9"/>
      <c r="FE584" s="9"/>
      <c r="FF584" s="9"/>
      <c r="FG584" s="9"/>
      <c r="FH584" s="9"/>
      <c r="FI584" s="9"/>
      <c r="FJ584" s="9"/>
      <c r="FK584" s="9"/>
      <c r="FL584" s="9"/>
      <c r="FM584" s="9"/>
      <c r="FN584" s="9"/>
      <c r="FO584" s="9"/>
      <c r="FP584" s="9"/>
      <c r="FQ584" s="9"/>
      <c r="FR584" s="9"/>
      <c r="FS584" s="9"/>
      <c r="FT584" s="9"/>
      <c r="FU584" s="9"/>
      <c r="FV584" s="9"/>
      <c r="FW584" s="9"/>
      <c r="FX584" s="9"/>
      <c r="FY584" s="9"/>
      <c r="FZ584" s="9"/>
      <c r="GA584" s="9"/>
      <c r="GB584" s="9"/>
      <c r="GC584" s="9"/>
      <c r="GD584" s="9"/>
      <c r="GE584" s="9"/>
      <c r="GF584" s="9"/>
      <c r="GG584" s="9"/>
      <c r="GH584" s="9"/>
      <c r="GI584" s="9"/>
      <c r="GJ584" s="9"/>
      <c r="GK584" s="9"/>
      <c r="GL584" s="9"/>
      <c r="GM584" s="9"/>
      <c r="GN584" s="9"/>
      <c r="GO584" s="9"/>
      <c r="GP584" s="9"/>
      <c r="GQ584" s="9"/>
      <c r="GR584" s="9"/>
      <c r="GS584" s="9"/>
      <c r="GT584" s="9"/>
      <c r="GU584" s="9"/>
      <c r="GV584" s="9"/>
      <c r="GW584" s="9"/>
      <c r="GX584" s="9"/>
      <c r="GY584" s="9"/>
      <c r="GZ584" s="9"/>
      <c r="HA584" s="9"/>
      <c r="HB584" s="9"/>
      <c r="HC584" s="9"/>
      <c r="HD584" s="9"/>
      <c r="HE584" s="9"/>
      <c r="HF584" s="9"/>
      <c r="HG584" s="9"/>
      <c r="HH584" s="9"/>
      <c r="HI584" s="9"/>
      <c r="HJ584" s="9"/>
      <c r="HK584" s="9"/>
      <c r="HL584" s="9"/>
      <c r="HM584" s="9"/>
      <c r="HN584" s="9"/>
      <c r="HO584" s="9"/>
      <c r="HP584" s="9"/>
      <c r="HQ584" s="9"/>
      <c r="HR584" s="9"/>
      <c r="HS584" s="9"/>
      <c r="HT584" s="9"/>
      <c r="HU584" s="9"/>
      <c r="HV584" s="9"/>
      <c r="HW584" s="9"/>
      <c r="HX584" s="9"/>
      <c r="HY584" s="9"/>
      <c r="HZ584" s="9"/>
      <c r="IA584" s="9"/>
      <c r="IB584" s="9"/>
      <c r="IC584" s="9"/>
      <c r="ID584" s="9"/>
      <c r="IE584" s="9"/>
      <c r="IF584" s="9"/>
      <c r="IG584" s="9"/>
      <c r="IH584" s="9"/>
      <c r="II584" s="9"/>
      <c r="IJ584" s="9"/>
      <c r="IK584" s="9"/>
      <c r="IL584" s="9"/>
      <c r="IM584" s="9"/>
      <c r="IN584" s="9"/>
      <c r="IO584" s="9"/>
      <c r="IP584" s="9"/>
      <c r="IQ584" s="9"/>
      <c r="IR584" s="9"/>
      <c r="IS584" s="9"/>
      <c r="IT584" s="9"/>
      <c r="IU584" s="9"/>
      <c r="IV584" s="9"/>
    </row>
    <row r="585" spans="1:256" outlineLevel="1">
      <c r="A585" s="16"/>
      <c r="B585" s="44"/>
      <c r="C585" s="20"/>
      <c r="D585" s="20"/>
      <c r="E585" s="20"/>
      <c r="F585" s="21"/>
      <c r="G585" s="21"/>
      <c r="H585" s="21"/>
      <c r="I585" s="21"/>
      <c r="J585" s="21"/>
      <c r="K585" s="21"/>
      <c r="L585" s="21"/>
      <c r="M585" s="21"/>
      <c r="N585" s="21"/>
      <c r="O585" s="21"/>
      <c r="P585" s="21"/>
      <c r="Q585" s="21"/>
      <c r="R585" s="20"/>
      <c r="S585" s="22">
        <f t="shared" si="40"/>
        <v>0</v>
      </c>
      <c r="T585" s="22">
        <f>COUNTIF($V$4:V585,V585)</f>
        <v>314</v>
      </c>
      <c r="U585" s="22" t="str">
        <f>IF(T585=1,COUNTIF($T$4:T585,1),"")</f>
        <v/>
      </c>
      <c r="V585" s="23" t="str">
        <f t="shared" si="41"/>
        <v/>
      </c>
      <c r="W585" s="23">
        <f t="shared" si="39"/>
        <v>0</v>
      </c>
      <c r="X585" s="24"/>
      <c r="Y585" s="23"/>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c r="EB585" s="9"/>
      <c r="EC585" s="9"/>
      <c r="ED585" s="9"/>
      <c r="EE585" s="9"/>
      <c r="EF585" s="9"/>
      <c r="EG585" s="9"/>
      <c r="EH585" s="9"/>
      <c r="EI585" s="9"/>
      <c r="EJ585" s="9"/>
      <c r="EK585" s="9"/>
      <c r="EL585" s="9"/>
      <c r="EM585" s="9"/>
      <c r="EN585" s="9"/>
      <c r="EO585" s="9"/>
      <c r="EP585" s="9"/>
      <c r="EQ585" s="9"/>
      <c r="ER585" s="9"/>
      <c r="ES585" s="9"/>
      <c r="ET585" s="9"/>
      <c r="EU585" s="9"/>
      <c r="EV585" s="9"/>
      <c r="EW585" s="9"/>
      <c r="EX585" s="9"/>
      <c r="EY585" s="9"/>
      <c r="EZ585" s="9"/>
      <c r="FA585" s="9"/>
      <c r="FB585" s="9"/>
      <c r="FC585" s="9"/>
      <c r="FD585" s="9"/>
      <c r="FE585" s="9"/>
      <c r="FF585" s="9"/>
      <c r="FG585" s="9"/>
      <c r="FH585" s="9"/>
      <c r="FI585" s="9"/>
      <c r="FJ585" s="9"/>
      <c r="FK585" s="9"/>
      <c r="FL585" s="9"/>
      <c r="FM585" s="9"/>
      <c r="FN585" s="9"/>
      <c r="FO585" s="9"/>
      <c r="FP585" s="9"/>
      <c r="FQ585" s="9"/>
      <c r="FR585" s="9"/>
      <c r="FS585" s="9"/>
      <c r="FT585" s="9"/>
      <c r="FU585" s="9"/>
      <c r="FV585" s="9"/>
      <c r="FW585" s="9"/>
      <c r="FX585" s="9"/>
      <c r="FY585" s="9"/>
      <c r="FZ585" s="9"/>
      <c r="GA585" s="9"/>
      <c r="GB585" s="9"/>
      <c r="GC585" s="9"/>
      <c r="GD585" s="9"/>
      <c r="GE585" s="9"/>
      <c r="GF585" s="9"/>
      <c r="GG585" s="9"/>
      <c r="GH585" s="9"/>
      <c r="GI585" s="9"/>
      <c r="GJ585" s="9"/>
      <c r="GK585" s="9"/>
      <c r="GL585" s="9"/>
      <c r="GM585" s="9"/>
      <c r="GN585" s="9"/>
      <c r="GO585" s="9"/>
      <c r="GP585" s="9"/>
      <c r="GQ585" s="9"/>
      <c r="GR585" s="9"/>
      <c r="GS585" s="9"/>
      <c r="GT585" s="9"/>
      <c r="GU585" s="9"/>
      <c r="GV585" s="9"/>
      <c r="GW585" s="9"/>
      <c r="GX585" s="9"/>
      <c r="GY585" s="9"/>
      <c r="GZ585" s="9"/>
      <c r="HA585" s="9"/>
      <c r="HB585" s="9"/>
      <c r="HC585" s="9"/>
      <c r="HD585" s="9"/>
      <c r="HE585" s="9"/>
      <c r="HF585" s="9"/>
      <c r="HG585" s="9"/>
      <c r="HH585" s="9"/>
      <c r="HI585" s="9"/>
      <c r="HJ585" s="9"/>
      <c r="HK585" s="9"/>
      <c r="HL585" s="9"/>
      <c r="HM585" s="9"/>
      <c r="HN585" s="9"/>
      <c r="HO585" s="9"/>
      <c r="HP585" s="9"/>
      <c r="HQ585" s="9"/>
      <c r="HR585" s="9"/>
      <c r="HS585" s="9"/>
      <c r="HT585" s="9"/>
      <c r="HU585" s="9"/>
      <c r="HV585" s="9"/>
      <c r="HW585" s="9"/>
      <c r="HX585" s="9"/>
      <c r="HY585" s="9"/>
      <c r="HZ585" s="9"/>
      <c r="IA585" s="9"/>
      <c r="IB585" s="9"/>
      <c r="IC585" s="9"/>
      <c r="ID585" s="9"/>
      <c r="IE585" s="9"/>
      <c r="IF585" s="9"/>
      <c r="IG585" s="9"/>
      <c r="IH585" s="9"/>
      <c r="II585" s="9"/>
      <c r="IJ585" s="9"/>
      <c r="IK585" s="9"/>
      <c r="IL585" s="9"/>
      <c r="IM585" s="9"/>
      <c r="IN585" s="9"/>
      <c r="IO585" s="9"/>
      <c r="IP585" s="9"/>
      <c r="IQ585" s="9"/>
      <c r="IR585" s="9"/>
      <c r="IS585" s="9"/>
      <c r="IT585" s="9"/>
      <c r="IU585" s="9"/>
      <c r="IV585" s="9"/>
    </row>
    <row r="586" spans="1:256" outlineLevel="1">
      <c r="A586" s="16"/>
      <c r="B586" s="44"/>
      <c r="C586" s="20"/>
      <c r="D586" s="20"/>
      <c r="E586" s="20"/>
      <c r="F586" s="21"/>
      <c r="G586" s="21"/>
      <c r="H586" s="21"/>
      <c r="I586" s="21"/>
      <c r="J586" s="21"/>
      <c r="K586" s="21"/>
      <c r="L586" s="21"/>
      <c r="M586" s="21"/>
      <c r="N586" s="21"/>
      <c r="O586" s="21"/>
      <c r="P586" s="21"/>
      <c r="Q586" s="21"/>
      <c r="R586" s="20"/>
      <c r="S586" s="22">
        <f t="shared" si="40"/>
        <v>0</v>
      </c>
      <c r="T586" s="22">
        <f>COUNTIF($V$4:V586,V586)</f>
        <v>315</v>
      </c>
      <c r="U586" s="22" t="str">
        <f>IF(T586=1,COUNTIF($T$4:T586,1),"")</f>
        <v/>
      </c>
      <c r="V586" s="23" t="str">
        <f t="shared" si="41"/>
        <v/>
      </c>
      <c r="W586" s="23">
        <f t="shared" si="39"/>
        <v>0</v>
      </c>
      <c r="X586" s="24"/>
      <c r="Y586" s="23"/>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c r="EB586" s="9"/>
      <c r="EC586" s="9"/>
      <c r="ED586" s="9"/>
      <c r="EE586" s="9"/>
      <c r="EF586" s="9"/>
      <c r="EG586" s="9"/>
      <c r="EH586" s="9"/>
      <c r="EI586" s="9"/>
      <c r="EJ586" s="9"/>
      <c r="EK586" s="9"/>
      <c r="EL586" s="9"/>
      <c r="EM586" s="9"/>
      <c r="EN586" s="9"/>
      <c r="EO586" s="9"/>
      <c r="EP586" s="9"/>
      <c r="EQ586" s="9"/>
      <c r="ER586" s="9"/>
      <c r="ES586" s="9"/>
      <c r="ET586" s="9"/>
      <c r="EU586" s="9"/>
      <c r="EV586" s="9"/>
      <c r="EW586" s="9"/>
      <c r="EX586" s="9"/>
      <c r="EY586" s="9"/>
      <c r="EZ586" s="9"/>
      <c r="FA586" s="9"/>
      <c r="FB586" s="9"/>
      <c r="FC586" s="9"/>
      <c r="FD586" s="9"/>
      <c r="FE586" s="9"/>
      <c r="FF586" s="9"/>
      <c r="FG586" s="9"/>
      <c r="FH586" s="9"/>
      <c r="FI586" s="9"/>
      <c r="FJ586" s="9"/>
      <c r="FK586" s="9"/>
      <c r="FL586" s="9"/>
      <c r="FM586" s="9"/>
      <c r="FN586" s="9"/>
      <c r="FO586" s="9"/>
      <c r="FP586" s="9"/>
      <c r="FQ586" s="9"/>
      <c r="FR586" s="9"/>
      <c r="FS586" s="9"/>
      <c r="FT586" s="9"/>
      <c r="FU586" s="9"/>
      <c r="FV586" s="9"/>
      <c r="FW586" s="9"/>
      <c r="FX586" s="9"/>
      <c r="FY586" s="9"/>
      <c r="FZ586" s="9"/>
      <c r="GA586" s="9"/>
      <c r="GB586" s="9"/>
      <c r="GC586" s="9"/>
      <c r="GD586" s="9"/>
      <c r="GE586" s="9"/>
      <c r="GF586" s="9"/>
      <c r="GG586" s="9"/>
      <c r="GH586" s="9"/>
      <c r="GI586" s="9"/>
      <c r="GJ586" s="9"/>
      <c r="GK586" s="9"/>
      <c r="GL586" s="9"/>
      <c r="GM586" s="9"/>
      <c r="GN586" s="9"/>
      <c r="GO586" s="9"/>
      <c r="GP586" s="9"/>
      <c r="GQ586" s="9"/>
      <c r="GR586" s="9"/>
      <c r="GS586" s="9"/>
      <c r="GT586" s="9"/>
      <c r="GU586" s="9"/>
      <c r="GV586" s="9"/>
      <c r="GW586" s="9"/>
      <c r="GX586" s="9"/>
      <c r="GY586" s="9"/>
      <c r="GZ586" s="9"/>
      <c r="HA586" s="9"/>
      <c r="HB586" s="9"/>
      <c r="HC586" s="9"/>
      <c r="HD586" s="9"/>
      <c r="HE586" s="9"/>
      <c r="HF586" s="9"/>
      <c r="HG586" s="9"/>
      <c r="HH586" s="9"/>
      <c r="HI586" s="9"/>
      <c r="HJ586" s="9"/>
      <c r="HK586" s="9"/>
      <c r="HL586" s="9"/>
      <c r="HM586" s="9"/>
      <c r="HN586" s="9"/>
      <c r="HO586" s="9"/>
      <c r="HP586" s="9"/>
      <c r="HQ586" s="9"/>
      <c r="HR586" s="9"/>
      <c r="HS586" s="9"/>
      <c r="HT586" s="9"/>
      <c r="HU586" s="9"/>
      <c r="HV586" s="9"/>
      <c r="HW586" s="9"/>
      <c r="HX586" s="9"/>
      <c r="HY586" s="9"/>
      <c r="HZ586" s="9"/>
      <c r="IA586" s="9"/>
      <c r="IB586" s="9"/>
      <c r="IC586" s="9"/>
      <c r="ID586" s="9"/>
      <c r="IE586" s="9"/>
      <c r="IF586" s="9"/>
      <c r="IG586" s="9"/>
      <c r="IH586" s="9"/>
      <c r="II586" s="9"/>
      <c r="IJ586" s="9"/>
      <c r="IK586" s="9"/>
      <c r="IL586" s="9"/>
      <c r="IM586" s="9"/>
      <c r="IN586" s="9"/>
      <c r="IO586" s="9"/>
      <c r="IP586" s="9"/>
      <c r="IQ586" s="9"/>
      <c r="IR586" s="9"/>
      <c r="IS586" s="9"/>
      <c r="IT586" s="9"/>
      <c r="IU586" s="9"/>
      <c r="IV586" s="9"/>
    </row>
    <row r="587" spans="1:256" outlineLevel="1">
      <c r="A587" s="16"/>
      <c r="B587" s="44"/>
      <c r="C587" s="20"/>
      <c r="D587" s="20"/>
      <c r="E587" s="20"/>
      <c r="F587" s="21"/>
      <c r="G587" s="21"/>
      <c r="H587" s="21"/>
      <c r="I587" s="21"/>
      <c r="J587" s="21"/>
      <c r="K587" s="21"/>
      <c r="L587" s="21"/>
      <c r="M587" s="21"/>
      <c r="N587" s="21"/>
      <c r="O587" s="21"/>
      <c r="P587" s="21"/>
      <c r="Q587" s="21"/>
      <c r="R587" s="20"/>
      <c r="S587" s="22">
        <f t="shared" si="40"/>
        <v>0</v>
      </c>
      <c r="T587" s="22">
        <f>COUNTIF($V$4:V587,V587)</f>
        <v>316</v>
      </c>
      <c r="U587" s="22" t="str">
        <f>IF(T587=1,COUNTIF($T$4:T587,1),"")</f>
        <v/>
      </c>
      <c r="V587" s="23" t="str">
        <f t="shared" si="41"/>
        <v/>
      </c>
      <c r="W587" s="23">
        <f t="shared" si="39"/>
        <v>0</v>
      </c>
      <c r="X587" s="24"/>
      <c r="Y587" s="23"/>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c r="EB587" s="9"/>
      <c r="EC587" s="9"/>
      <c r="ED587" s="9"/>
      <c r="EE587" s="9"/>
      <c r="EF587" s="9"/>
      <c r="EG587" s="9"/>
      <c r="EH587" s="9"/>
      <c r="EI587" s="9"/>
      <c r="EJ587" s="9"/>
      <c r="EK587" s="9"/>
      <c r="EL587" s="9"/>
      <c r="EM587" s="9"/>
      <c r="EN587" s="9"/>
      <c r="EO587" s="9"/>
      <c r="EP587" s="9"/>
      <c r="EQ587" s="9"/>
      <c r="ER587" s="9"/>
      <c r="ES587" s="9"/>
      <c r="ET587" s="9"/>
      <c r="EU587" s="9"/>
      <c r="EV587" s="9"/>
      <c r="EW587" s="9"/>
      <c r="EX587" s="9"/>
      <c r="EY587" s="9"/>
      <c r="EZ587" s="9"/>
      <c r="FA587" s="9"/>
      <c r="FB587" s="9"/>
      <c r="FC587" s="9"/>
      <c r="FD587" s="9"/>
      <c r="FE587" s="9"/>
      <c r="FF587" s="9"/>
      <c r="FG587" s="9"/>
      <c r="FH587" s="9"/>
      <c r="FI587" s="9"/>
      <c r="FJ587" s="9"/>
      <c r="FK587" s="9"/>
      <c r="FL587" s="9"/>
      <c r="FM587" s="9"/>
      <c r="FN587" s="9"/>
      <c r="FO587" s="9"/>
      <c r="FP587" s="9"/>
      <c r="FQ587" s="9"/>
      <c r="FR587" s="9"/>
      <c r="FS587" s="9"/>
      <c r="FT587" s="9"/>
      <c r="FU587" s="9"/>
      <c r="FV587" s="9"/>
      <c r="FW587" s="9"/>
      <c r="FX587" s="9"/>
      <c r="FY587" s="9"/>
      <c r="FZ587" s="9"/>
      <c r="GA587" s="9"/>
      <c r="GB587" s="9"/>
      <c r="GC587" s="9"/>
      <c r="GD587" s="9"/>
      <c r="GE587" s="9"/>
      <c r="GF587" s="9"/>
      <c r="GG587" s="9"/>
      <c r="GH587" s="9"/>
      <c r="GI587" s="9"/>
      <c r="GJ587" s="9"/>
      <c r="GK587" s="9"/>
      <c r="GL587" s="9"/>
      <c r="GM587" s="9"/>
      <c r="GN587" s="9"/>
      <c r="GO587" s="9"/>
      <c r="GP587" s="9"/>
      <c r="GQ587" s="9"/>
      <c r="GR587" s="9"/>
      <c r="GS587" s="9"/>
      <c r="GT587" s="9"/>
      <c r="GU587" s="9"/>
      <c r="GV587" s="9"/>
      <c r="GW587" s="9"/>
      <c r="GX587" s="9"/>
      <c r="GY587" s="9"/>
      <c r="GZ587" s="9"/>
      <c r="HA587" s="9"/>
      <c r="HB587" s="9"/>
      <c r="HC587" s="9"/>
      <c r="HD587" s="9"/>
      <c r="HE587" s="9"/>
      <c r="HF587" s="9"/>
      <c r="HG587" s="9"/>
      <c r="HH587" s="9"/>
      <c r="HI587" s="9"/>
      <c r="HJ587" s="9"/>
      <c r="HK587" s="9"/>
      <c r="HL587" s="9"/>
      <c r="HM587" s="9"/>
      <c r="HN587" s="9"/>
      <c r="HO587" s="9"/>
      <c r="HP587" s="9"/>
      <c r="HQ587" s="9"/>
      <c r="HR587" s="9"/>
      <c r="HS587" s="9"/>
      <c r="HT587" s="9"/>
      <c r="HU587" s="9"/>
      <c r="HV587" s="9"/>
      <c r="HW587" s="9"/>
      <c r="HX587" s="9"/>
      <c r="HY587" s="9"/>
      <c r="HZ587" s="9"/>
      <c r="IA587" s="9"/>
      <c r="IB587" s="9"/>
      <c r="IC587" s="9"/>
      <c r="ID587" s="9"/>
      <c r="IE587" s="9"/>
      <c r="IF587" s="9"/>
      <c r="IG587" s="9"/>
      <c r="IH587" s="9"/>
      <c r="II587" s="9"/>
      <c r="IJ587" s="9"/>
      <c r="IK587" s="9"/>
      <c r="IL587" s="9"/>
      <c r="IM587" s="9"/>
      <c r="IN587" s="9"/>
      <c r="IO587" s="9"/>
      <c r="IP587" s="9"/>
      <c r="IQ587" s="9"/>
      <c r="IR587" s="9"/>
      <c r="IS587" s="9"/>
      <c r="IT587" s="9"/>
      <c r="IU587" s="9"/>
      <c r="IV587" s="9"/>
    </row>
    <row r="588" spans="1:256" outlineLevel="1">
      <c r="A588" s="16"/>
      <c r="B588" s="44"/>
      <c r="C588" s="20"/>
      <c r="D588" s="20"/>
      <c r="E588" s="20"/>
      <c r="F588" s="21"/>
      <c r="G588" s="21"/>
      <c r="H588" s="21"/>
      <c r="I588" s="21"/>
      <c r="J588" s="21"/>
      <c r="K588" s="21"/>
      <c r="L588" s="21"/>
      <c r="M588" s="21"/>
      <c r="N588" s="21"/>
      <c r="O588" s="21"/>
      <c r="P588" s="21"/>
      <c r="Q588" s="21"/>
      <c r="R588" s="20"/>
      <c r="S588" s="22">
        <f t="shared" si="40"/>
        <v>0</v>
      </c>
      <c r="T588" s="22">
        <f>COUNTIF($V$4:V588,V588)</f>
        <v>317</v>
      </c>
      <c r="U588" s="22" t="str">
        <f>IF(T588=1,COUNTIF($T$4:T588,1),"")</f>
        <v/>
      </c>
      <c r="V588" s="23" t="str">
        <f t="shared" si="41"/>
        <v/>
      </c>
      <c r="W588" s="23">
        <f t="shared" si="39"/>
        <v>0</v>
      </c>
      <c r="X588" s="24"/>
      <c r="Y588" s="23"/>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c r="EB588" s="9"/>
      <c r="EC588" s="9"/>
      <c r="ED588" s="9"/>
      <c r="EE588" s="9"/>
      <c r="EF588" s="9"/>
      <c r="EG588" s="9"/>
      <c r="EH588" s="9"/>
      <c r="EI588" s="9"/>
      <c r="EJ588" s="9"/>
      <c r="EK588" s="9"/>
      <c r="EL588" s="9"/>
      <c r="EM588" s="9"/>
      <c r="EN588" s="9"/>
      <c r="EO588" s="9"/>
      <c r="EP588" s="9"/>
      <c r="EQ588" s="9"/>
      <c r="ER588" s="9"/>
      <c r="ES588" s="9"/>
      <c r="ET588" s="9"/>
      <c r="EU588" s="9"/>
      <c r="EV588" s="9"/>
      <c r="EW588" s="9"/>
      <c r="EX588" s="9"/>
      <c r="EY588" s="9"/>
      <c r="EZ588" s="9"/>
      <c r="FA588" s="9"/>
      <c r="FB588" s="9"/>
      <c r="FC588" s="9"/>
      <c r="FD588" s="9"/>
      <c r="FE588" s="9"/>
      <c r="FF588" s="9"/>
      <c r="FG588" s="9"/>
      <c r="FH588" s="9"/>
      <c r="FI588" s="9"/>
      <c r="FJ588" s="9"/>
      <c r="FK588" s="9"/>
      <c r="FL588" s="9"/>
      <c r="FM588" s="9"/>
      <c r="FN588" s="9"/>
      <c r="FO588" s="9"/>
      <c r="FP588" s="9"/>
      <c r="FQ588" s="9"/>
      <c r="FR588" s="9"/>
      <c r="FS588" s="9"/>
      <c r="FT588" s="9"/>
      <c r="FU588" s="9"/>
      <c r="FV588" s="9"/>
      <c r="FW588" s="9"/>
      <c r="FX588" s="9"/>
      <c r="FY588" s="9"/>
      <c r="FZ588" s="9"/>
      <c r="GA588" s="9"/>
      <c r="GB588" s="9"/>
      <c r="GC588" s="9"/>
      <c r="GD588" s="9"/>
      <c r="GE588" s="9"/>
      <c r="GF588" s="9"/>
      <c r="GG588" s="9"/>
      <c r="GH588" s="9"/>
      <c r="GI588" s="9"/>
      <c r="GJ588" s="9"/>
      <c r="GK588" s="9"/>
      <c r="GL588" s="9"/>
      <c r="GM588" s="9"/>
      <c r="GN588" s="9"/>
      <c r="GO588" s="9"/>
      <c r="GP588" s="9"/>
      <c r="GQ588" s="9"/>
      <c r="GR588" s="9"/>
      <c r="GS588" s="9"/>
      <c r="GT588" s="9"/>
      <c r="GU588" s="9"/>
      <c r="GV588" s="9"/>
      <c r="GW588" s="9"/>
      <c r="GX588" s="9"/>
      <c r="GY588" s="9"/>
      <c r="GZ588" s="9"/>
      <c r="HA588" s="9"/>
      <c r="HB588" s="9"/>
      <c r="HC588" s="9"/>
      <c r="HD588" s="9"/>
      <c r="HE588" s="9"/>
      <c r="HF588" s="9"/>
      <c r="HG588" s="9"/>
      <c r="HH588" s="9"/>
      <c r="HI588" s="9"/>
      <c r="HJ588" s="9"/>
      <c r="HK588" s="9"/>
      <c r="HL588" s="9"/>
      <c r="HM588" s="9"/>
      <c r="HN588" s="9"/>
      <c r="HO588" s="9"/>
      <c r="HP588" s="9"/>
      <c r="HQ588" s="9"/>
      <c r="HR588" s="9"/>
      <c r="HS588" s="9"/>
      <c r="HT588" s="9"/>
      <c r="HU588" s="9"/>
      <c r="HV588" s="9"/>
      <c r="HW588" s="9"/>
      <c r="HX588" s="9"/>
      <c r="HY588" s="9"/>
      <c r="HZ588" s="9"/>
      <c r="IA588" s="9"/>
      <c r="IB588" s="9"/>
      <c r="IC588" s="9"/>
      <c r="ID588" s="9"/>
      <c r="IE588" s="9"/>
      <c r="IF588" s="9"/>
      <c r="IG588" s="9"/>
      <c r="IH588" s="9"/>
      <c r="II588" s="9"/>
      <c r="IJ588" s="9"/>
      <c r="IK588" s="9"/>
      <c r="IL588" s="9"/>
      <c r="IM588" s="9"/>
      <c r="IN588" s="9"/>
      <c r="IO588" s="9"/>
      <c r="IP588" s="9"/>
      <c r="IQ588" s="9"/>
      <c r="IR588" s="9"/>
      <c r="IS588" s="9"/>
      <c r="IT588" s="9"/>
      <c r="IU588" s="9"/>
      <c r="IV588" s="9"/>
    </row>
    <row r="589" spans="1:256" outlineLevel="1">
      <c r="A589" s="16"/>
      <c r="B589" s="44"/>
      <c r="C589" s="20"/>
      <c r="D589" s="20"/>
      <c r="E589" s="20"/>
      <c r="F589" s="21"/>
      <c r="G589" s="21"/>
      <c r="H589" s="21"/>
      <c r="I589" s="21"/>
      <c r="J589" s="21"/>
      <c r="K589" s="21"/>
      <c r="L589" s="21"/>
      <c r="M589" s="21"/>
      <c r="N589" s="21"/>
      <c r="O589" s="21"/>
      <c r="P589" s="21"/>
      <c r="Q589" s="21"/>
      <c r="R589" s="20"/>
      <c r="S589" s="22">
        <f t="shared" si="40"/>
        <v>0</v>
      </c>
      <c r="T589" s="22">
        <f>COUNTIF($V$4:V589,V589)</f>
        <v>318</v>
      </c>
      <c r="U589" s="22" t="str">
        <f>IF(T589=1,COUNTIF($T$4:T589,1),"")</f>
        <v/>
      </c>
      <c r="V589" s="23" t="str">
        <f t="shared" si="41"/>
        <v/>
      </c>
      <c r="W589" s="23">
        <f t="shared" si="39"/>
        <v>0</v>
      </c>
      <c r="X589" s="24"/>
      <c r="Y589" s="23"/>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9"/>
      <c r="ED589" s="9"/>
      <c r="EE589" s="9"/>
      <c r="EF589" s="9"/>
      <c r="EG589" s="9"/>
      <c r="EH589" s="9"/>
      <c r="EI589" s="9"/>
      <c r="EJ589" s="9"/>
      <c r="EK589" s="9"/>
      <c r="EL589" s="9"/>
      <c r="EM589" s="9"/>
      <c r="EN589" s="9"/>
      <c r="EO589" s="9"/>
      <c r="EP589" s="9"/>
      <c r="EQ589" s="9"/>
      <c r="ER589" s="9"/>
      <c r="ES589" s="9"/>
      <c r="ET589" s="9"/>
      <c r="EU589" s="9"/>
      <c r="EV589" s="9"/>
      <c r="EW589" s="9"/>
      <c r="EX589" s="9"/>
      <c r="EY589" s="9"/>
      <c r="EZ589" s="9"/>
      <c r="FA589" s="9"/>
      <c r="FB589" s="9"/>
      <c r="FC589" s="9"/>
      <c r="FD589" s="9"/>
      <c r="FE589" s="9"/>
      <c r="FF589" s="9"/>
      <c r="FG589" s="9"/>
      <c r="FH589" s="9"/>
      <c r="FI589" s="9"/>
      <c r="FJ589" s="9"/>
      <c r="FK589" s="9"/>
      <c r="FL589" s="9"/>
      <c r="FM589" s="9"/>
      <c r="FN589" s="9"/>
      <c r="FO589" s="9"/>
      <c r="FP589" s="9"/>
      <c r="FQ589" s="9"/>
      <c r="FR589" s="9"/>
      <c r="FS589" s="9"/>
      <c r="FT589" s="9"/>
      <c r="FU589" s="9"/>
      <c r="FV589" s="9"/>
      <c r="FW589" s="9"/>
      <c r="FX589" s="9"/>
      <c r="FY589" s="9"/>
      <c r="FZ589" s="9"/>
      <c r="GA589" s="9"/>
      <c r="GB589" s="9"/>
      <c r="GC589" s="9"/>
      <c r="GD589" s="9"/>
      <c r="GE589" s="9"/>
      <c r="GF589" s="9"/>
      <c r="GG589" s="9"/>
      <c r="GH589" s="9"/>
      <c r="GI589" s="9"/>
      <c r="GJ589" s="9"/>
      <c r="GK589" s="9"/>
      <c r="GL589" s="9"/>
      <c r="GM589" s="9"/>
      <c r="GN589" s="9"/>
      <c r="GO589" s="9"/>
      <c r="GP589" s="9"/>
      <c r="GQ589" s="9"/>
      <c r="GR589" s="9"/>
      <c r="GS589" s="9"/>
      <c r="GT589" s="9"/>
      <c r="GU589" s="9"/>
      <c r="GV589" s="9"/>
      <c r="GW589" s="9"/>
      <c r="GX589" s="9"/>
      <c r="GY589" s="9"/>
      <c r="GZ589" s="9"/>
      <c r="HA589" s="9"/>
      <c r="HB589" s="9"/>
      <c r="HC589" s="9"/>
      <c r="HD589" s="9"/>
      <c r="HE589" s="9"/>
      <c r="HF589" s="9"/>
      <c r="HG589" s="9"/>
      <c r="HH589" s="9"/>
      <c r="HI589" s="9"/>
      <c r="HJ589" s="9"/>
      <c r="HK589" s="9"/>
      <c r="HL589" s="9"/>
      <c r="HM589" s="9"/>
      <c r="HN589" s="9"/>
      <c r="HO589" s="9"/>
      <c r="HP589" s="9"/>
      <c r="HQ589" s="9"/>
      <c r="HR589" s="9"/>
      <c r="HS589" s="9"/>
      <c r="HT589" s="9"/>
      <c r="HU589" s="9"/>
      <c r="HV589" s="9"/>
      <c r="HW589" s="9"/>
      <c r="HX589" s="9"/>
      <c r="HY589" s="9"/>
      <c r="HZ589" s="9"/>
      <c r="IA589" s="9"/>
      <c r="IB589" s="9"/>
      <c r="IC589" s="9"/>
      <c r="ID589" s="9"/>
      <c r="IE589" s="9"/>
      <c r="IF589" s="9"/>
      <c r="IG589" s="9"/>
      <c r="IH589" s="9"/>
      <c r="II589" s="9"/>
      <c r="IJ589" s="9"/>
      <c r="IK589" s="9"/>
      <c r="IL589" s="9"/>
      <c r="IM589" s="9"/>
      <c r="IN589" s="9"/>
      <c r="IO589" s="9"/>
      <c r="IP589" s="9"/>
      <c r="IQ589" s="9"/>
      <c r="IR589" s="9"/>
      <c r="IS589" s="9"/>
      <c r="IT589" s="9"/>
      <c r="IU589" s="9"/>
      <c r="IV589" s="9"/>
    </row>
    <row r="590" spans="1:256" outlineLevel="1">
      <c r="A590" s="16"/>
      <c r="B590" s="44"/>
      <c r="C590" s="20"/>
      <c r="D590" s="20"/>
      <c r="E590" s="20"/>
      <c r="F590" s="21"/>
      <c r="G590" s="21"/>
      <c r="H590" s="21"/>
      <c r="I590" s="21"/>
      <c r="J590" s="21"/>
      <c r="K590" s="21"/>
      <c r="L590" s="21"/>
      <c r="M590" s="21"/>
      <c r="N590" s="21"/>
      <c r="O590" s="21"/>
      <c r="P590" s="21"/>
      <c r="Q590" s="21"/>
      <c r="R590" s="20"/>
      <c r="S590" s="22">
        <f t="shared" si="40"/>
        <v>0</v>
      </c>
      <c r="T590" s="22">
        <f>COUNTIF($V$4:V590,V590)</f>
        <v>319</v>
      </c>
      <c r="U590" s="22" t="str">
        <f>IF(T590=1,COUNTIF($T$4:T590,1),"")</f>
        <v/>
      </c>
      <c r="V590" s="23" t="str">
        <f t="shared" si="41"/>
        <v/>
      </c>
      <c r="W590" s="23">
        <f t="shared" si="39"/>
        <v>0</v>
      </c>
      <c r="X590" s="24"/>
      <c r="Y590" s="23"/>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9"/>
      <c r="ED590" s="9"/>
      <c r="EE590" s="9"/>
      <c r="EF590" s="9"/>
      <c r="EG590" s="9"/>
      <c r="EH590" s="9"/>
      <c r="EI590" s="9"/>
      <c r="EJ590" s="9"/>
      <c r="EK590" s="9"/>
      <c r="EL590" s="9"/>
      <c r="EM590" s="9"/>
      <c r="EN590" s="9"/>
      <c r="EO590" s="9"/>
      <c r="EP590" s="9"/>
      <c r="EQ590" s="9"/>
      <c r="ER590" s="9"/>
      <c r="ES590" s="9"/>
      <c r="ET590" s="9"/>
      <c r="EU590" s="9"/>
      <c r="EV590" s="9"/>
      <c r="EW590" s="9"/>
      <c r="EX590" s="9"/>
      <c r="EY590" s="9"/>
      <c r="EZ590" s="9"/>
      <c r="FA590" s="9"/>
      <c r="FB590" s="9"/>
      <c r="FC590" s="9"/>
      <c r="FD590" s="9"/>
      <c r="FE590" s="9"/>
      <c r="FF590" s="9"/>
      <c r="FG590" s="9"/>
      <c r="FH590" s="9"/>
      <c r="FI590" s="9"/>
      <c r="FJ590" s="9"/>
      <c r="FK590" s="9"/>
      <c r="FL590" s="9"/>
      <c r="FM590" s="9"/>
      <c r="FN590" s="9"/>
      <c r="FO590" s="9"/>
      <c r="FP590" s="9"/>
      <c r="FQ590" s="9"/>
      <c r="FR590" s="9"/>
      <c r="FS590" s="9"/>
      <c r="FT590" s="9"/>
      <c r="FU590" s="9"/>
      <c r="FV590" s="9"/>
      <c r="FW590" s="9"/>
      <c r="FX590" s="9"/>
      <c r="FY590" s="9"/>
      <c r="FZ590" s="9"/>
      <c r="GA590" s="9"/>
      <c r="GB590" s="9"/>
      <c r="GC590" s="9"/>
      <c r="GD590" s="9"/>
      <c r="GE590" s="9"/>
      <c r="GF590" s="9"/>
      <c r="GG590" s="9"/>
      <c r="GH590" s="9"/>
      <c r="GI590" s="9"/>
      <c r="GJ590" s="9"/>
      <c r="GK590" s="9"/>
      <c r="GL590" s="9"/>
      <c r="GM590" s="9"/>
      <c r="GN590" s="9"/>
      <c r="GO590" s="9"/>
      <c r="GP590" s="9"/>
      <c r="GQ590" s="9"/>
      <c r="GR590" s="9"/>
      <c r="GS590" s="9"/>
      <c r="GT590" s="9"/>
      <c r="GU590" s="9"/>
      <c r="GV590" s="9"/>
      <c r="GW590" s="9"/>
      <c r="GX590" s="9"/>
      <c r="GY590" s="9"/>
      <c r="GZ590" s="9"/>
      <c r="HA590" s="9"/>
      <c r="HB590" s="9"/>
      <c r="HC590" s="9"/>
      <c r="HD590" s="9"/>
      <c r="HE590" s="9"/>
      <c r="HF590" s="9"/>
      <c r="HG590" s="9"/>
      <c r="HH590" s="9"/>
      <c r="HI590" s="9"/>
      <c r="HJ590" s="9"/>
      <c r="HK590" s="9"/>
      <c r="HL590" s="9"/>
      <c r="HM590" s="9"/>
      <c r="HN590" s="9"/>
      <c r="HO590" s="9"/>
      <c r="HP590" s="9"/>
      <c r="HQ590" s="9"/>
      <c r="HR590" s="9"/>
      <c r="HS590" s="9"/>
      <c r="HT590" s="9"/>
      <c r="HU590" s="9"/>
      <c r="HV590" s="9"/>
      <c r="HW590" s="9"/>
      <c r="HX590" s="9"/>
      <c r="HY590" s="9"/>
      <c r="HZ590" s="9"/>
      <c r="IA590" s="9"/>
      <c r="IB590" s="9"/>
      <c r="IC590" s="9"/>
      <c r="ID590" s="9"/>
      <c r="IE590" s="9"/>
      <c r="IF590" s="9"/>
      <c r="IG590" s="9"/>
      <c r="IH590" s="9"/>
      <c r="II590" s="9"/>
      <c r="IJ590" s="9"/>
      <c r="IK590" s="9"/>
      <c r="IL590" s="9"/>
      <c r="IM590" s="9"/>
      <c r="IN590" s="9"/>
      <c r="IO590" s="9"/>
      <c r="IP590" s="9"/>
      <c r="IQ590" s="9"/>
      <c r="IR590" s="9"/>
      <c r="IS590" s="9"/>
      <c r="IT590" s="9"/>
      <c r="IU590" s="9"/>
      <c r="IV590" s="9"/>
    </row>
    <row r="591" spans="1:256" outlineLevel="1">
      <c r="A591" s="16"/>
      <c r="B591" s="44"/>
      <c r="C591" s="20"/>
      <c r="D591" s="20"/>
      <c r="E591" s="20"/>
      <c r="F591" s="21"/>
      <c r="G591" s="21"/>
      <c r="H591" s="21"/>
      <c r="I591" s="21"/>
      <c r="J591" s="21"/>
      <c r="K591" s="21"/>
      <c r="L591" s="21"/>
      <c r="M591" s="21"/>
      <c r="N591" s="21"/>
      <c r="O591" s="21"/>
      <c r="P591" s="21"/>
      <c r="Q591" s="21"/>
      <c r="R591" s="20"/>
      <c r="S591" s="22">
        <f t="shared" si="40"/>
        <v>0</v>
      </c>
      <c r="T591" s="22">
        <f>COUNTIF($V$4:V591,V591)</f>
        <v>320</v>
      </c>
      <c r="U591" s="22" t="str">
        <f>IF(T591=1,COUNTIF($T$4:T591,1),"")</f>
        <v/>
      </c>
      <c r="V591" s="23" t="str">
        <f t="shared" si="41"/>
        <v/>
      </c>
      <c r="W591" s="23">
        <f t="shared" si="39"/>
        <v>0</v>
      </c>
      <c r="X591" s="24"/>
      <c r="Y591" s="23"/>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c r="EB591" s="9"/>
      <c r="EC591" s="9"/>
      <c r="ED591" s="9"/>
      <c r="EE591" s="9"/>
      <c r="EF591" s="9"/>
      <c r="EG591" s="9"/>
      <c r="EH591" s="9"/>
      <c r="EI591" s="9"/>
      <c r="EJ591" s="9"/>
      <c r="EK591" s="9"/>
      <c r="EL591" s="9"/>
      <c r="EM591" s="9"/>
      <c r="EN591" s="9"/>
      <c r="EO591" s="9"/>
      <c r="EP591" s="9"/>
      <c r="EQ591" s="9"/>
      <c r="ER591" s="9"/>
      <c r="ES591" s="9"/>
      <c r="ET591" s="9"/>
      <c r="EU591" s="9"/>
      <c r="EV591" s="9"/>
      <c r="EW591" s="9"/>
      <c r="EX591" s="9"/>
      <c r="EY591" s="9"/>
      <c r="EZ591" s="9"/>
      <c r="FA591" s="9"/>
      <c r="FB591" s="9"/>
      <c r="FC591" s="9"/>
      <c r="FD591" s="9"/>
      <c r="FE591" s="9"/>
      <c r="FF591" s="9"/>
      <c r="FG591" s="9"/>
      <c r="FH591" s="9"/>
      <c r="FI591" s="9"/>
      <c r="FJ591" s="9"/>
      <c r="FK591" s="9"/>
      <c r="FL591" s="9"/>
      <c r="FM591" s="9"/>
      <c r="FN591" s="9"/>
      <c r="FO591" s="9"/>
      <c r="FP591" s="9"/>
      <c r="FQ591" s="9"/>
      <c r="FR591" s="9"/>
      <c r="FS591" s="9"/>
      <c r="FT591" s="9"/>
      <c r="FU591" s="9"/>
      <c r="FV591" s="9"/>
      <c r="FW591" s="9"/>
      <c r="FX591" s="9"/>
      <c r="FY591" s="9"/>
      <c r="FZ591" s="9"/>
      <c r="GA591" s="9"/>
      <c r="GB591" s="9"/>
      <c r="GC591" s="9"/>
      <c r="GD591" s="9"/>
      <c r="GE591" s="9"/>
      <c r="GF591" s="9"/>
      <c r="GG591" s="9"/>
      <c r="GH591" s="9"/>
      <c r="GI591" s="9"/>
      <c r="GJ591" s="9"/>
      <c r="GK591" s="9"/>
      <c r="GL591" s="9"/>
      <c r="GM591" s="9"/>
      <c r="GN591" s="9"/>
      <c r="GO591" s="9"/>
      <c r="GP591" s="9"/>
      <c r="GQ591" s="9"/>
      <c r="GR591" s="9"/>
      <c r="GS591" s="9"/>
      <c r="GT591" s="9"/>
      <c r="GU591" s="9"/>
      <c r="GV591" s="9"/>
      <c r="GW591" s="9"/>
      <c r="GX591" s="9"/>
      <c r="GY591" s="9"/>
      <c r="GZ591" s="9"/>
      <c r="HA591" s="9"/>
      <c r="HB591" s="9"/>
      <c r="HC591" s="9"/>
      <c r="HD591" s="9"/>
      <c r="HE591" s="9"/>
      <c r="HF591" s="9"/>
      <c r="HG591" s="9"/>
      <c r="HH591" s="9"/>
      <c r="HI591" s="9"/>
      <c r="HJ591" s="9"/>
      <c r="HK591" s="9"/>
      <c r="HL591" s="9"/>
      <c r="HM591" s="9"/>
      <c r="HN591" s="9"/>
      <c r="HO591" s="9"/>
      <c r="HP591" s="9"/>
      <c r="HQ591" s="9"/>
      <c r="HR591" s="9"/>
      <c r="HS591" s="9"/>
      <c r="HT591" s="9"/>
      <c r="HU591" s="9"/>
      <c r="HV591" s="9"/>
      <c r="HW591" s="9"/>
      <c r="HX591" s="9"/>
      <c r="HY591" s="9"/>
      <c r="HZ591" s="9"/>
      <c r="IA591" s="9"/>
      <c r="IB591" s="9"/>
      <c r="IC591" s="9"/>
      <c r="ID591" s="9"/>
      <c r="IE591" s="9"/>
      <c r="IF591" s="9"/>
      <c r="IG591" s="9"/>
      <c r="IH591" s="9"/>
      <c r="II591" s="9"/>
      <c r="IJ591" s="9"/>
      <c r="IK591" s="9"/>
      <c r="IL591" s="9"/>
      <c r="IM591" s="9"/>
      <c r="IN591" s="9"/>
      <c r="IO591" s="9"/>
      <c r="IP591" s="9"/>
      <c r="IQ591" s="9"/>
      <c r="IR591" s="9"/>
      <c r="IS591" s="9"/>
      <c r="IT591" s="9"/>
      <c r="IU591" s="9"/>
      <c r="IV591" s="9"/>
    </row>
    <row r="592" spans="1:256" outlineLevel="1">
      <c r="A592" s="16"/>
      <c r="B592" s="44"/>
      <c r="C592" s="20"/>
      <c r="D592" s="20"/>
      <c r="E592" s="20"/>
      <c r="F592" s="21"/>
      <c r="G592" s="21"/>
      <c r="H592" s="21"/>
      <c r="I592" s="21"/>
      <c r="J592" s="21"/>
      <c r="K592" s="21"/>
      <c r="L592" s="21"/>
      <c r="M592" s="21"/>
      <c r="N592" s="21"/>
      <c r="O592" s="21"/>
      <c r="P592" s="21"/>
      <c r="Q592" s="21"/>
      <c r="R592" s="20"/>
      <c r="S592" s="22">
        <f t="shared" si="40"/>
        <v>0</v>
      </c>
      <c r="T592" s="22">
        <f>COUNTIF($V$4:V592,V592)</f>
        <v>321</v>
      </c>
      <c r="U592" s="22" t="str">
        <f>IF(T592=1,COUNTIF($T$4:T592,1),"")</f>
        <v/>
      </c>
      <c r="V592" s="23" t="str">
        <f t="shared" si="41"/>
        <v/>
      </c>
      <c r="W592" s="23">
        <f t="shared" si="39"/>
        <v>0</v>
      </c>
      <c r="X592" s="24"/>
      <c r="Y592" s="23"/>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c r="EB592" s="9"/>
      <c r="EC592" s="9"/>
      <c r="ED592" s="9"/>
      <c r="EE592" s="9"/>
      <c r="EF592" s="9"/>
      <c r="EG592" s="9"/>
      <c r="EH592" s="9"/>
      <c r="EI592" s="9"/>
      <c r="EJ592" s="9"/>
      <c r="EK592" s="9"/>
      <c r="EL592" s="9"/>
      <c r="EM592" s="9"/>
      <c r="EN592" s="9"/>
      <c r="EO592" s="9"/>
      <c r="EP592" s="9"/>
      <c r="EQ592" s="9"/>
      <c r="ER592" s="9"/>
      <c r="ES592" s="9"/>
      <c r="ET592" s="9"/>
      <c r="EU592" s="9"/>
      <c r="EV592" s="9"/>
      <c r="EW592" s="9"/>
      <c r="EX592" s="9"/>
      <c r="EY592" s="9"/>
      <c r="EZ592" s="9"/>
      <c r="FA592" s="9"/>
      <c r="FB592" s="9"/>
      <c r="FC592" s="9"/>
      <c r="FD592" s="9"/>
      <c r="FE592" s="9"/>
      <c r="FF592" s="9"/>
      <c r="FG592" s="9"/>
      <c r="FH592" s="9"/>
      <c r="FI592" s="9"/>
      <c r="FJ592" s="9"/>
      <c r="FK592" s="9"/>
      <c r="FL592" s="9"/>
      <c r="FM592" s="9"/>
      <c r="FN592" s="9"/>
      <c r="FO592" s="9"/>
      <c r="FP592" s="9"/>
      <c r="FQ592" s="9"/>
      <c r="FR592" s="9"/>
      <c r="FS592" s="9"/>
      <c r="FT592" s="9"/>
      <c r="FU592" s="9"/>
      <c r="FV592" s="9"/>
      <c r="FW592" s="9"/>
      <c r="FX592" s="9"/>
      <c r="FY592" s="9"/>
      <c r="FZ592" s="9"/>
      <c r="GA592" s="9"/>
      <c r="GB592" s="9"/>
      <c r="GC592" s="9"/>
      <c r="GD592" s="9"/>
      <c r="GE592" s="9"/>
      <c r="GF592" s="9"/>
      <c r="GG592" s="9"/>
      <c r="GH592" s="9"/>
      <c r="GI592" s="9"/>
      <c r="GJ592" s="9"/>
      <c r="GK592" s="9"/>
      <c r="GL592" s="9"/>
      <c r="GM592" s="9"/>
      <c r="GN592" s="9"/>
      <c r="GO592" s="9"/>
      <c r="GP592" s="9"/>
      <c r="GQ592" s="9"/>
      <c r="GR592" s="9"/>
      <c r="GS592" s="9"/>
      <c r="GT592" s="9"/>
      <c r="GU592" s="9"/>
      <c r="GV592" s="9"/>
      <c r="GW592" s="9"/>
      <c r="GX592" s="9"/>
      <c r="GY592" s="9"/>
      <c r="GZ592" s="9"/>
      <c r="HA592" s="9"/>
      <c r="HB592" s="9"/>
      <c r="HC592" s="9"/>
      <c r="HD592" s="9"/>
      <c r="HE592" s="9"/>
      <c r="HF592" s="9"/>
      <c r="HG592" s="9"/>
      <c r="HH592" s="9"/>
      <c r="HI592" s="9"/>
      <c r="HJ592" s="9"/>
      <c r="HK592" s="9"/>
      <c r="HL592" s="9"/>
      <c r="HM592" s="9"/>
      <c r="HN592" s="9"/>
      <c r="HO592" s="9"/>
      <c r="HP592" s="9"/>
      <c r="HQ592" s="9"/>
      <c r="HR592" s="9"/>
      <c r="HS592" s="9"/>
      <c r="HT592" s="9"/>
      <c r="HU592" s="9"/>
      <c r="HV592" s="9"/>
      <c r="HW592" s="9"/>
      <c r="HX592" s="9"/>
      <c r="HY592" s="9"/>
      <c r="HZ592" s="9"/>
      <c r="IA592" s="9"/>
      <c r="IB592" s="9"/>
      <c r="IC592" s="9"/>
      <c r="ID592" s="9"/>
      <c r="IE592" s="9"/>
      <c r="IF592" s="9"/>
      <c r="IG592" s="9"/>
      <c r="IH592" s="9"/>
      <c r="II592" s="9"/>
      <c r="IJ592" s="9"/>
      <c r="IK592" s="9"/>
      <c r="IL592" s="9"/>
      <c r="IM592" s="9"/>
      <c r="IN592" s="9"/>
      <c r="IO592" s="9"/>
      <c r="IP592" s="9"/>
      <c r="IQ592" s="9"/>
      <c r="IR592" s="9"/>
      <c r="IS592" s="9"/>
      <c r="IT592" s="9"/>
      <c r="IU592" s="9"/>
      <c r="IV592" s="9"/>
    </row>
    <row r="593" spans="1:256" outlineLevel="1">
      <c r="A593" s="16"/>
      <c r="B593" s="44"/>
      <c r="C593" s="20"/>
      <c r="D593" s="20"/>
      <c r="E593" s="20"/>
      <c r="F593" s="21"/>
      <c r="G593" s="21"/>
      <c r="H593" s="21"/>
      <c r="I593" s="21"/>
      <c r="J593" s="21"/>
      <c r="K593" s="21"/>
      <c r="L593" s="21"/>
      <c r="M593" s="21"/>
      <c r="N593" s="21"/>
      <c r="O593" s="21"/>
      <c r="P593" s="21"/>
      <c r="Q593" s="21"/>
      <c r="R593" s="20"/>
      <c r="S593" s="22">
        <f t="shared" si="40"/>
        <v>0</v>
      </c>
      <c r="T593" s="22">
        <f>COUNTIF($V$4:V593,V593)</f>
        <v>322</v>
      </c>
      <c r="U593" s="22" t="str">
        <f>IF(T593=1,COUNTIF($T$4:T593,1),"")</f>
        <v/>
      </c>
      <c r="V593" s="23" t="str">
        <f t="shared" si="41"/>
        <v/>
      </c>
      <c r="W593" s="23">
        <f t="shared" si="39"/>
        <v>0</v>
      </c>
      <c r="X593" s="24"/>
      <c r="Y593" s="23"/>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c r="EP593" s="9"/>
      <c r="EQ593" s="9"/>
      <c r="ER593" s="9"/>
      <c r="ES593" s="9"/>
      <c r="ET593" s="9"/>
      <c r="EU593" s="9"/>
      <c r="EV593" s="9"/>
      <c r="EW593" s="9"/>
      <c r="EX593" s="9"/>
      <c r="EY593" s="9"/>
      <c r="EZ593" s="9"/>
      <c r="FA593" s="9"/>
      <c r="FB593" s="9"/>
      <c r="FC593" s="9"/>
      <c r="FD593" s="9"/>
      <c r="FE593" s="9"/>
      <c r="FF593" s="9"/>
      <c r="FG593" s="9"/>
      <c r="FH593" s="9"/>
      <c r="FI593" s="9"/>
      <c r="FJ593" s="9"/>
      <c r="FK593" s="9"/>
      <c r="FL593" s="9"/>
      <c r="FM593" s="9"/>
      <c r="FN593" s="9"/>
      <c r="FO593" s="9"/>
      <c r="FP593" s="9"/>
      <c r="FQ593" s="9"/>
      <c r="FR593" s="9"/>
      <c r="FS593" s="9"/>
      <c r="FT593" s="9"/>
      <c r="FU593" s="9"/>
      <c r="FV593" s="9"/>
      <c r="FW593" s="9"/>
      <c r="FX593" s="9"/>
      <c r="FY593" s="9"/>
      <c r="FZ593" s="9"/>
      <c r="GA593" s="9"/>
      <c r="GB593" s="9"/>
      <c r="GC593" s="9"/>
      <c r="GD593" s="9"/>
      <c r="GE593" s="9"/>
      <c r="GF593" s="9"/>
      <c r="GG593" s="9"/>
      <c r="GH593" s="9"/>
      <c r="GI593" s="9"/>
      <c r="GJ593" s="9"/>
      <c r="GK593" s="9"/>
      <c r="GL593" s="9"/>
      <c r="GM593" s="9"/>
      <c r="GN593" s="9"/>
      <c r="GO593" s="9"/>
      <c r="GP593" s="9"/>
      <c r="GQ593" s="9"/>
      <c r="GR593" s="9"/>
      <c r="GS593" s="9"/>
      <c r="GT593" s="9"/>
      <c r="GU593" s="9"/>
      <c r="GV593" s="9"/>
      <c r="GW593" s="9"/>
      <c r="GX593" s="9"/>
      <c r="GY593" s="9"/>
      <c r="GZ593" s="9"/>
      <c r="HA593" s="9"/>
      <c r="HB593" s="9"/>
      <c r="HC593" s="9"/>
      <c r="HD593" s="9"/>
      <c r="HE593" s="9"/>
      <c r="HF593" s="9"/>
      <c r="HG593" s="9"/>
      <c r="HH593" s="9"/>
      <c r="HI593" s="9"/>
      <c r="HJ593" s="9"/>
      <c r="HK593" s="9"/>
      <c r="HL593" s="9"/>
      <c r="HM593" s="9"/>
      <c r="HN593" s="9"/>
      <c r="HO593" s="9"/>
      <c r="HP593" s="9"/>
      <c r="HQ593" s="9"/>
      <c r="HR593" s="9"/>
      <c r="HS593" s="9"/>
      <c r="HT593" s="9"/>
      <c r="HU593" s="9"/>
      <c r="HV593" s="9"/>
      <c r="HW593" s="9"/>
      <c r="HX593" s="9"/>
      <c r="HY593" s="9"/>
      <c r="HZ593" s="9"/>
      <c r="IA593" s="9"/>
      <c r="IB593" s="9"/>
      <c r="IC593" s="9"/>
      <c r="ID593" s="9"/>
      <c r="IE593" s="9"/>
      <c r="IF593" s="9"/>
      <c r="IG593" s="9"/>
      <c r="IH593" s="9"/>
      <c r="II593" s="9"/>
      <c r="IJ593" s="9"/>
      <c r="IK593" s="9"/>
      <c r="IL593" s="9"/>
      <c r="IM593" s="9"/>
      <c r="IN593" s="9"/>
      <c r="IO593" s="9"/>
      <c r="IP593" s="9"/>
      <c r="IQ593" s="9"/>
      <c r="IR593" s="9"/>
      <c r="IS593" s="9"/>
      <c r="IT593" s="9"/>
      <c r="IU593" s="9"/>
      <c r="IV593" s="9"/>
    </row>
    <row r="594" spans="1:256" outlineLevel="1">
      <c r="A594" s="16"/>
      <c r="B594" s="44"/>
      <c r="C594" s="20"/>
      <c r="D594" s="20"/>
      <c r="E594" s="20"/>
      <c r="F594" s="21"/>
      <c r="G594" s="21"/>
      <c r="H594" s="21"/>
      <c r="I594" s="21"/>
      <c r="J594" s="21"/>
      <c r="K594" s="21"/>
      <c r="L594" s="21"/>
      <c r="M594" s="21"/>
      <c r="N594" s="21"/>
      <c r="O594" s="21"/>
      <c r="P594" s="21"/>
      <c r="Q594" s="21"/>
      <c r="R594" s="20"/>
      <c r="S594" s="22">
        <f t="shared" si="40"/>
        <v>0</v>
      </c>
      <c r="T594" s="22">
        <f>COUNTIF($V$4:V594,V594)</f>
        <v>323</v>
      </c>
      <c r="U594" s="22" t="str">
        <f>IF(T594=1,COUNTIF($T$4:T594,1),"")</f>
        <v/>
      </c>
      <c r="V594" s="23" t="str">
        <f t="shared" si="41"/>
        <v/>
      </c>
      <c r="W594" s="23">
        <f t="shared" si="39"/>
        <v>0</v>
      </c>
      <c r="X594" s="24"/>
      <c r="Y594" s="23"/>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c r="EB594" s="9"/>
      <c r="EC594" s="9"/>
      <c r="ED594" s="9"/>
      <c r="EE594" s="9"/>
      <c r="EF594" s="9"/>
      <c r="EG594" s="9"/>
      <c r="EH594" s="9"/>
      <c r="EI594" s="9"/>
      <c r="EJ594" s="9"/>
      <c r="EK594" s="9"/>
      <c r="EL594" s="9"/>
      <c r="EM594" s="9"/>
      <c r="EN594" s="9"/>
      <c r="EO594" s="9"/>
      <c r="EP594" s="9"/>
      <c r="EQ594" s="9"/>
      <c r="ER594" s="9"/>
      <c r="ES594" s="9"/>
      <c r="ET594" s="9"/>
      <c r="EU594" s="9"/>
      <c r="EV594" s="9"/>
      <c r="EW594" s="9"/>
      <c r="EX594" s="9"/>
      <c r="EY594" s="9"/>
      <c r="EZ594" s="9"/>
      <c r="FA594" s="9"/>
      <c r="FB594" s="9"/>
      <c r="FC594" s="9"/>
      <c r="FD594" s="9"/>
      <c r="FE594" s="9"/>
      <c r="FF594" s="9"/>
      <c r="FG594" s="9"/>
      <c r="FH594" s="9"/>
      <c r="FI594" s="9"/>
      <c r="FJ594" s="9"/>
      <c r="FK594" s="9"/>
      <c r="FL594" s="9"/>
      <c r="FM594" s="9"/>
      <c r="FN594" s="9"/>
      <c r="FO594" s="9"/>
      <c r="FP594" s="9"/>
      <c r="FQ594" s="9"/>
      <c r="FR594" s="9"/>
      <c r="FS594" s="9"/>
      <c r="FT594" s="9"/>
      <c r="FU594" s="9"/>
      <c r="FV594" s="9"/>
      <c r="FW594" s="9"/>
      <c r="FX594" s="9"/>
      <c r="FY594" s="9"/>
      <c r="FZ594" s="9"/>
      <c r="GA594" s="9"/>
      <c r="GB594" s="9"/>
      <c r="GC594" s="9"/>
      <c r="GD594" s="9"/>
      <c r="GE594" s="9"/>
      <c r="GF594" s="9"/>
      <c r="GG594" s="9"/>
      <c r="GH594" s="9"/>
      <c r="GI594" s="9"/>
      <c r="GJ594" s="9"/>
      <c r="GK594" s="9"/>
      <c r="GL594" s="9"/>
      <c r="GM594" s="9"/>
      <c r="GN594" s="9"/>
      <c r="GO594" s="9"/>
      <c r="GP594" s="9"/>
      <c r="GQ594" s="9"/>
      <c r="GR594" s="9"/>
      <c r="GS594" s="9"/>
      <c r="GT594" s="9"/>
      <c r="GU594" s="9"/>
      <c r="GV594" s="9"/>
      <c r="GW594" s="9"/>
      <c r="GX594" s="9"/>
      <c r="GY594" s="9"/>
      <c r="GZ594" s="9"/>
      <c r="HA594" s="9"/>
      <c r="HB594" s="9"/>
      <c r="HC594" s="9"/>
      <c r="HD594" s="9"/>
      <c r="HE594" s="9"/>
      <c r="HF594" s="9"/>
      <c r="HG594" s="9"/>
      <c r="HH594" s="9"/>
      <c r="HI594" s="9"/>
      <c r="HJ594" s="9"/>
      <c r="HK594" s="9"/>
      <c r="HL594" s="9"/>
      <c r="HM594" s="9"/>
      <c r="HN594" s="9"/>
      <c r="HO594" s="9"/>
      <c r="HP594" s="9"/>
      <c r="HQ594" s="9"/>
      <c r="HR594" s="9"/>
      <c r="HS594" s="9"/>
      <c r="HT594" s="9"/>
      <c r="HU594" s="9"/>
      <c r="HV594" s="9"/>
      <c r="HW594" s="9"/>
      <c r="HX594" s="9"/>
      <c r="HY594" s="9"/>
      <c r="HZ594" s="9"/>
      <c r="IA594" s="9"/>
      <c r="IB594" s="9"/>
      <c r="IC594" s="9"/>
      <c r="ID594" s="9"/>
      <c r="IE594" s="9"/>
      <c r="IF594" s="9"/>
      <c r="IG594" s="9"/>
      <c r="IH594" s="9"/>
      <c r="II594" s="9"/>
      <c r="IJ594" s="9"/>
      <c r="IK594" s="9"/>
      <c r="IL594" s="9"/>
      <c r="IM594" s="9"/>
      <c r="IN594" s="9"/>
      <c r="IO594" s="9"/>
      <c r="IP594" s="9"/>
      <c r="IQ594" s="9"/>
      <c r="IR594" s="9"/>
      <c r="IS594" s="9"/>
      <c r="IT594" s="9"/>
      <c r="IU594" s="9"/>
      <c r="IV594" s="9"/>
    </row>
    <row r="595" spans="1:256" outlineLevel="1">
      <c r="A595" s="16"/>
      <c r="B595" s="44"/>
      <c r="C595" s="20"/>
      <c r="D595" s="20"/>
      <c r="E595" s="20"/>
      <c r="F595" s="21"/>
      <c r="G595" s="21"/>
      <c r="H595" s="21"/>
      <c r="I595" s="21"/>
      <c r="J595" s="21"/>
      <c r="K595" s="21"/>
      <c r="L595" s="21"/>
      <c r="M595" s="21"/>
      <c r="N595" s="21"/>
      <c r="O595" s="21"/>
      <c r="P595" s="21"/>
      <c r="Q595" s="21"/>
      <c r="R595" s="20"/>
      <c r="S595" s="22">
        <f t="shared" si="40"/>
        <v>0</v>
      </c>
      <c r="T595" s="22">
        <f>COUNTIF($V$4:V595,V595)</f>
        <v>324</v>
      </c>
      <c r="U595" s="22" t="str">
        <f>IF(T595=1,COUNTIF($T$4:T595,1),"")</f>
        <v/>
      </c>
      <c r="V595" s="23" t="str">
        <f t="shared" si="41"/>
        <v/>
      </c>
      <c r="W595" s="23">
        <f t="shared" si="39"/>
        <v>0</v>
      </c>
      <c r="X595" s="24"/>
      <c r="Y595" s="23"/>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c r="EB595" s="9"/>
      <c r="EC595" s="9"/>
      <c r="ED595" s="9"/>
      <c r="EE595" s="9"/>
      <c r="EF595" s="9"/>
      <c r="EG595" s="9"/>
      <c r="EH595" s="9"/>
      <c r="EI595" s="9"/>
      <c r="EJ595" s="9"/>
      <c r="EK595" s="9"/>
      <c r="EL595" s="9"/>
      <c r="EM595" s="9"/>
      <c r="EN595" s="9"/>
      <c r="EO595" s="9"/>
      <c r="EP595" s="9"/>
      <c r="EQ595" s="9"/>
      <c r="ER595" s="9"/>
      <c r="ES595" s="9"/>
      <c r="ET595" s="9"/>
      <c r="EU595" s="9"/>
      <c r="EV595" s="9"/>
      <c r="EW595" s="9"/>
      <c r="EX595" s="9"/>
      <c r="EY595" s="9"/>
      <c r="EZ595" s="9"/>
      <c r="FA595" s="9"/>
      <c r="FB595" s="9"/>
      <c r="FC595" s="9"/>
      <c r="FD595" s="9"/>
      <c r="FE595" s="9"/>
      <c r="FF595" s="9"/>
      <c r="FG595" s="9"/>
      <c r="FH595" s="9"/>
      <c r="FI595" s="9"/>
      <c r="FJ595" s="9"/>
      <c r="FK595" s="9"/>
      <c r="FL595" s="9"/>
      <c r="FM595" s="9"/>
      <c r="FN595" s="9"/>
      <c r="FO595" s="9"/>
      <c r="FP595" s="9"/>
      <c r="FQ595" s="9"/>
      <c r="FR595" s="9"/>
      <c r="FS595" s="9"/>
      <c r="FT595" s="9"/>
      <c r="FU595" s="9"/>
      <c r="FV595" s="9"/>
      <c r="FW595" s="9"/>
      <c r="FX595" s="9"/>
      <c r="FY595" s="9"/>
      <c r="FZ595" s="9"/>
      <c r="GA595" s="9"/>
      <c r="GB595" s="9"/>
      <c r="GC595" s="9"/>
      <c r="GD595" s="9"/>
      <c r="GE595" s="9"/>
      <c r="GF595" s="9"/>
      <c r="GG595" s="9"/>
      <c r="GH595" s="9"/>
      <c r="GI595" s="9"/>
      <c r="GJ595" s="9"/>
      <c r="GK595" s="9"/>
      <c r="GL595" s="9"/>
      <c r="GM595" s="9"/>
      <c r="GN595" s="9"/>
      <c r="GO595" s="9"/>
      <c r="GP595" s="9"/>
      <c r="GQ595" s="9"/>
      <c r="GR595" s="9"/>
      <c r="GS595" s="9"/>
      <c r="GT595" s="9"/>
      <c r="GU595" s="9"/>
      <c r="GV595" s="9"/>
      <c r="GW595" s="9"/>
      <c r="GX595" s="9"/>
      <c r="GY595" s="9"/>
      <c r="GZ595" s="9"/>
      <c r="HA595" s="9"/>
      <c r="HB595" s="9"/>
      <c r="HC595" s="9"/>
      <c r="HD595" s="9"/>
      <c r="HE595" s="9"/>
      <c r="HF595" s="9"/>
      <c r="HG595" s="9"/>
      <c r="HH595" s="9"/>
      <c r="HI595" s="9"/>
      <c r="HJ595" s="9"/>
      <c r="HK595" s="9"/>
      <c r="HL595" s="9"/>
      <c r="HM595" s="9"/>
      <c r="HN595" s="9"/>
      <c r="HO595" s="9"/>
      <c r="HP595" s="9"/>
      <c r="HQ595" s="9"/>
      <c r="HR595" s="9"/>
      <c r="HS595" s="9"/>
      <c r="HT595" s="9"/>
      <c r="HU595" s="9"/>
      <c r="HV595" s="9"/>
      <c r="HW595" s="9"/>
      <c r="HX595" s="9"/>
      <c r="HY595" s="9"/>
      <c r="HZ595" s="9"/>
      <c r="IA595" s="9"/>
      <c r="IB595" s="9"/>
      <c r="IC595" s="9"/>
      <c r="ID595" s="9"/>
      <c r="IE595" s="9"/>
      <c r="IF595" s="9"/>
      <c r="IG595" s="9"/>
      <c r="IH595" s="9"/>
      <c r="II595" s="9"/>
      <c r="IJ595" s="9"/>
      <c r="IK595" s="9"/>
      <c r="IL595" s="9"/>
      <c r="IM595" s="9"/>
      <c r="IN595" s="9"/>
      <c r="IO595" s="9"/>
      <c r="IP595" s="9"/>
      <c r="IQ595" s="9"/>
      <c r="IR595" s="9"/>
      <c r="IS595" s="9"/>
      <c r="IT595" s="9"/>
      <c r="IU595" s="9"/>
      <c r="IV595" s="9"/>
    </row>
    <row r="596" spans="1:256" outlineLevel="1">
      <c r="A596" s="16"/>
      <c r="B596" s="44"/>
      <c r="C596" s="20"/>
      <c r="D596" s="20"/>
      <c r="E596" s="20"/>
      <c r="F596" s="21"/>
      <c r="G596" s="21"/>
      <c r="H596" s="21"/>
      <c r="I596" s="21"/>
      <c r="J596" s="21"/>
      <c r="K596" s="21"/>
      <c r="L596" s="21"/>
      <c r="M596" s="21"/>
      <c r="N596" s="21"/>
      <c r="O596" s="21"/>
      <c r="P596" s="21"/>
      <c r="Q596" s="21"/>
      <c r="R596" s="20"/>
      <c r="S596" s="22">
        <f t="shared" si="40"/>
        <v>0</v>
      </c>
      <c r="T596" s="22">
        <f>COUNTIF($V$4:V596,V596)</f>
        <v>325</v>
      </c>
      <c r="U596" s="22" t="str">
        <f>IF(T596=1,COUNTIF($T$4:T596,1),"")</f>
        <v/>
      </c>
      <c r="V596" s="23" t="str">
        <f t="shared" si="41"/>
        <v/>
      </c>
      <c r="W596" s="23">
        <f t="shared" si="39"/>
        <v>0</v>
      </c>
      <c r="X596" s="24"/>
      <c r="Y596" s="23"/>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c r="EB596" s="9"/>
      <c r="EC596" s="9"/>
      <c r="ED596" s="9"/>
      <c r="EE596" s="9"/>
      <c r="EF596" s="9"/>
      <c r="EG596" s="9"/>
      <c r="EH596" s="9"/>
      <c r="EI596" s="9"/>
      <c r="EJ596" s="9"/>
      <c r="EK596" s="9"/>
      <c r="EL596" s="9"/>
      <c r="EM596" s="9"/>
      <c r="EN596" s="9"/>
      <c r="EO596" s="9"/>
      <c r="EP596" s="9"/>
      <c r="EQ596" s="9"/>
      <c r="ER596" s="9"/>
      <c r="ES596" s="9"/>
      <c r="ET596" s="9"/>
      <c r="EU596" s="9"/>
      <c r="EV596" s="9"/>
      <c r="EW596" s="9"/>
      <c r="EX596" s="9"/>
      <c r="EY596" s="9"/>
      <c r="EZ596" s="9"/>
      <c r="FA596" s="9"/>
      <c r="FB596" s="9"/>
      <c r="FC596" s="9"/>
      <c r="FD596" s="9"/>
      <c r="FE596" s="9"/>
      <c r="FF596" s="9"/>
      <c r="FG596" s="9"/>
      <c r="FH596" s="9"/>
      <c r="FI596" s="9"/>
      <c r="FJ596" s="9"/>
      <c r="FK596" s="9"/>
      <c r="FL596" s="9"/>
      <c r="FM596" s="9"/>
      <c r="FN596" s="9"/>
      <c r="FO596" s="9"/>
      <c r="FP596" s="9"/>
      <c r="FQ596" s="9"/>
      <c r="FR596" s="9"/>
      <c r="FS596" s="9"/>
      <c r="FT596" s="9"/>
      <c r="FU596" s="9"/>
      <c r="FV596" s="9"/>
      <c r="FW596" s="9"/>
      <c r="FX596" s="9"/>
      <c r="FY596" s="9"/>
      <c r="FZ596" s="9"/>
      <c r="GA596" s="9"/>
      <c r="GB596" s="9"/>
      <c r="GC596" s="9"/>
      <c r="GD596" s="9"/>
      <c r="GE596" s="9"/>
      <c r="GF596" s="9"/>
      <c r="GG596" s="9"/>
      <c r="GH596" s="9"/>
      <c r="GI596" s="9"/>
      <c r="GJ596" s="9"/>
      <c r="GK596" s="9"/>
      <c r="GL596" s="9"/>
      <c r="GM596" s="9"/>
      <c r="GN596" s="9"/>
      <c r="GO596" s="9"/>
      <c r="GP596" s="9"/>
      <c r="GQ596" s="9"/>
      <c r="GR596" s="9"/>
      <c r="GS596" s="9"/>
      <c r="GT596" s="9"/>
      <c r="GU596" s="9"/>
      <c r="GV596" s="9"/>
      <c r="GW596" s="9"/>
      <c r="GX596" s="9"/>
      <c r="GY596" s="9"/>
      <c r="GZ596" s="9"/>
      <c r="HA596" s="9"/>
      <c r="HB596" s="9"/>
      <c r="HC596" s="9"/>
      <c r="HD596" s="9"/>
      <c r="HE596" s="9"/>
      <c r="HF596" s="9"/>
      <c r="HG596" s="9"/>
      <c r="HH596" s="9"/>
      <c r="HI596" s="9"/>
      <c r="HJ596" s="9"/>
      <c r="HK596" s="9"/>
      <c r="HL596" s="9"/>
      <c r="HM596" s="9"/>
      <c r="HN596" s="9"/>
      <c r="HO596" s="9"/>
      <c r="HP596" s="9"/>
      <c r="HQ596" s="9"/>
      <c r="HR596" s="9"/>
      <c r="HS596" s="9"/>
      <c r="HT596" s="9"/>
      <c r="HU596" s="9"/>
      <c r="HV596" s="9"/>
      <c r="HW596" s="9"/>
      <c r="HX596" s="9"/>
      <c r="HY596" s="9"/>
      <c r="HZ596" s="9"/>
      <c r="IA596" s="9"/>
      <c r="IB596" s="9"/>
      <c r="IC596" s="9"/>
      <c r="ID596" s="9"/>
      <c r="IE596" s="9"/>
      <c r="IF596" s="9"/>
      <c r="IG596" s="9"/>
      <c r="IH596" s="9"/>
      <c r="II596" s="9"/>
      <c r="IJ596" s="9"/>
      <c r="IK596" s="9"/>
      <c r="IL596" s="9"/>
      <c r="IM596" s="9"/>
      <c r="IN596" s="9"/>
      <c r="IO596" s="9"/>
      <c r="IP596" s="9"/>
      <c r="IQ596" s="9"/>
      <c r="IR596" s="9"/>
      <c r="IS596" s="9"/>
      <c r="IT596" s="9"/>
      <c r="IU596" s="9"/>
      <c r="IV596" s="9"/>
    </row>
    <row r="597" spans="1:256" outlineLevel="1">
      <c r="A597" s="16"/>
      <c r="B597" s="44"/>
      <c r="C597" s="20"/>
      <c r="D597" s="20"/>
      <c r="E597" s="20"/>
      <c r="F597" s="21"/>
      <c r="G597" s="21"/>
      <c r="H597" s="21"/>
      <c r="I597" s="21"/>
      <c r="J597" s="21"/>
      <c r="K597" s="21"/>
      <c r="L597" s="21"/>
      <c r="M597" s="21"/>
      <c r="N597" s="21"/>
      <c r="O597" s="21"/>
      <c r="P597" s="21"/>
      <c r="Q597" s="21"/>
      <c r="R597" s="20"/>
      <c r="S597" s="22">
        <f t="shared" si="40"/>
        <v>0</v>
      </c>
      <c r="T597" s="22">
        <f>COUNTIF($V$4:V597,V597)</f>
        <v>326</v>
      </c>
      <c r="U597" s="22" t="str">
        <f>IF(T597=1,COUNTIF($T$4:T597,1),"")</f>
        <v/>
      </c>
      <c r="V597" s="23" t="str">
        <f t="shared" si="41"/>
        <v/>
      </c>
      <c r="W597" s="23">
        <f t="shared" si="39"/>
        <v>0</v>
      </c>
      <c r="X597" s="24"/>
      <c r="Y597" s="23"/>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c r="EB597" s="9"/>
      <c r="EC597" s="9"/>
      <c r="ED597" s="9"/>
      <c r="EE597" s="9"/>
      <c r="EF597" s="9"/>
      <c r="EG597" s="9"/>
      <c r="EH597" s="9"/>
      <c r="EI597" s="9"/>
      <c r="EJ597" s="9"/>
      <c r="EK597" s="9"/>
      <c r="EL597" s="9"/>
      <c r="EM597" s="9"/>
      <c r="EN597" s="9"/>
      <c r="EO597" s="9"/>
      <c r="EP597" s="9"/>
      <c r="EQ597" s="9"/>
      <c r="ER597" s="9"/>
      <c r="ES597" s="9"/>
      <c r="ET597" s="9"/>
      <c r="EU597" s="9"/>
      <c r="EV597" s="9"/>
      <c r="EW597" s="9"/>
      <c r="EX597" s="9"/>
      <c r="EY597" s="9"/>
      <c r="EZ597" s="9"/>
      <c r="FA597" s="9"/>
      <c r="FB597" s="9"/>
      <c r="FC597" s="9"/>
      <c r="FD597" s="9"/>
      <c r="FE597" s="9"/>
      <c r="FF597" s="9"/>
      <c r="FG597" s="9"/>
      <c r="FH597" s="9"/>
      <c r="FI597" s="9"/>
      <c r="FJ597" s="9"/>
      <c r="FK597" s="9"/>
      <c r="FL597" s="9"/>
      <c r="FM597" s="9"/>
      <c r="FN597" s="9"/>
      <c r="FO597" s="9"/>
      <c r="FP597" s="9"/>
      <c r="FQ597" s="9"/>
      <c r="FR597" s="9"/>
      <c r="FS597" s="9"/>
      <c r="FT597" s="9"/>
      <c r="FU597" s="9"/>
      <c r="FV597" s="9"/>
      <c r="FW597" s="9"/>
      <c r="FX597" s="9"/>
      <c r="FY597" s="9"/>
      <c r="FZ597" s="9"/>
      <c r="GA597" s="9"/>
      <c r="GB597" s="9"/>
      <c r="GC597" s="9"/>
      <c r="GD597" s="9"/>
      <c r="GE597" s="9"/>
      <c r="GF597" s="9"/>
      <c r="GG597" s="9"/>
      <c r="GH597" s="9"/>
      <c r="GI597" s="9"/>
      <c r="GJ597" s="9"/>
      <c r="GK597" s="9"/>
      <c r="GL597" s="9"/>
      <c r="GM597" s="9"/>
      <c r="GN597" s="9"/>
      <c r="GO597" s="9"/>
      <c r="GP597" s="9"/>
      <c r="GQ597" s="9"/>
      <c r="GR597" s="9"/>
      <c r="GS597" s="9"/>
      <c r="GT597" s="9"/>
      <c r="GU597" s="9"/>
      <c r="GV597" s="9"/>
      <c r="GW597" s="9"/>
      <c r="GX597" s="9"/>
      <c r="GY597" s="9"/>
      <c r="GZ597" s="9"/>
      <c r="HA597" s="9"/>
      <c r="HB597" s="9"/>
      <c r="HC597" s="9"/>
      <c r="HD597" s="9"/>
      <c r="HE597" s="9"/>
      <c r="HF597" s="9"/>
      <c r="HG597" s="9"/>
      <c r="HH597" s="9"/>
      <c r="HI597" s="9"/>
      <c r="HJ597" s="9"/>
      <c r="HK597" s="9"/>
      <c r="HL597" s="9"/>
      <c r="HM597" s="9"/>
      <c r="HN597" s="9"/>
      <c r="HO597" s="9"/>
      <c r="HP597" s="9"/>
      <c r="HQ597" s="9"/>
      <c r="HR597" s="9"/>
      <c r="HS597" s="9"/>
      <c r="HT597" s="9"/>
      <c r="HU597" s="9"/>
      <c r="HV597" s="9"/>
      <c r="HW597" s="9"/>
      <c r="HX597" s="9"/>
      <c r="HY597" s="9"/>
      <c r="HZ597" s="9"/>
      <c r="IA597" s="9"/>
      <c r="IB597" s="9"/>
      <c r="IC597" s="9"/>
      <c r="ID597" s="9"/>
      <c r="IE597" s="9"/>
      <c r="IF597" s="9"/>
      <c r="IG597" s="9"/>
      <c r="IH597" s="9"/>
      <c r="II597" s="9"/>
      <c r="IJ597" s="9"/>
      <c r="IK597" s="9"/>
      <c r="IL597" s="9"/>
      <c r="IM597" s="9"/>
      <c r="IN597" s="9"/>
      <c r="IO597" s="9"/>
      <c r="IP597" s="9"/>
      <c r="IQ597" s="9"/>
      <c r="IR597" s="9"/>
      <c r="IS597" s="9"/>
      <c r="IT597" s="9"/>
      <c r="IU597" s="9"/>
      <c r="IV597" s="9"/>
    </row>
    <row r="598" spans="1:256" outlineLevel="1">
      <c r="A598" s="16"/>
      <c r="B598" s="44"/>
      <c r="C598" s="20"/>
      <c r="D598" s="20"/>
      <c r="E598" s="20"/>
      <c r="F598" s="21"/>
      <c r="G598" s="21"/>
      <c r="H598" s="21"/>
      <c r="I598" s="21"/>
      <c r="J598" s="21"/>
      <c r="K598" s="21"/>
      <c r="L598" s="21"/>
      <c r="M598" s="21"/>
      <c r="N598" s="21"/>
      <c r="O598" s="21"/>
      <c r="P598" s="21"/>
      <c r="Q598" s="21"/>
      <c r="R598" s="20"/>
      <c r="S598" s="22">
        <f t="shared" si="40"/>
        <v>0</v>
      </c>
      <c r="T598" s="22">
        <f>COUNTIF($V$4:V598,V598)</f>
        <v>327</v>
      </c>
      <c r="U598" s="22" t="str">
        <f>IF(T598=1,COUNTIF($T$4:T598,1),"")</f>
        <v/>
      </c>
      <c r="V598" s="23" t="str">
        <f t="shared" si="41"/>
        <v/>
      </c>
      <c r="W598" s="23">
        <f t="shared" si="39"/>
        <v>0</v>
      </c>
      <c r="X598" s="24"/>
      <c r="Y598" s="23"/>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c r="EB598" s="9"/>
      <c r="EC598" s="9"/>
      <c r="ED598" s="9"/>
      <c r="EE598" s="9"/>
      <c r="EF598" s="9"/>
      <c r="EG598" s="9"/>
      <c r="EH598" s="9"/>
      <c r="EI598" s="9"/>
      <c r="EJ598" s="9"/>
      <c r="EK598" s="9"/>
      <c r="EL598" s="9"/>
      <c r="EM598" s="9"/>
      <c r="EN598" s="9"/>
      <c r="EO598" s="9"/>
      <c r="EP598" s="9"/>
      <c r="EQ598" s="9"/>
      <c r="ER598" s="9"/>
      <c r="ES598" s="9"/>
      <c r="ET598" s="9"/>
      <c r="EU598" s="9"/>
      <c r="EV598" s="9"/>
      <c r="EW598" s="9"/>
      <c r="EX598" s="9"/>
      <c r="EY598" s="9"/>
      <c r="EZ598" s="9"/>
      <c r="FA598" s="9"/>
      <c r="FB598" s="9"/>
      <c r="FC598" s="9"/>
      <c r="FD598" s="9"/>
      <c r="FE598" s="9"/>
      <c r="FF598" s="9"/>
      <c r="FG598" s="9"/>
      <c r="FH598" s="9"/>
      <c r="FI598" s="9"/>
      <c r="FJ598" s="9"/>
      <c r="FK598" s="9"/>
      <c r="FL598" s="9"/>
      <c r="FM598" s="9"/>
      <c r="FN598" s="9"/>
      <c r="FO598" s="9"/>
      <c r="FP598" s="9"/>
      <c r="FQ598" s="9"/>
      <c r="FR598" s="9"/>
      <c r="FS598" s="9"/>
      <c r="FT598" s="9"/>
      <c r="FU598" s="9"/>
      <c r="FV598" s="9"/>
      <c r="FW598" s="9"/>
      <c r="FX598" s="9"/>
      <c r="FY598" s="9"/>
      <c r="FZ598" s="9"/>
      <c r="GA598" s="9"/>
      <c r="GB598" s="9"/>
      <c r="GC598" s="9"/>
      <c r="GD598" s="9"/>
      <c r="GE598" s="9"/>
      <c r="GF598" s="9"/>
      <c r="GG598" s="9"/>
      <c r="GH598" s="9"/>
      <c r="GI598" s="9"/>
      <c r="GJ598" s="9"/>
      <c r="GK598" s="9"/>
      <c r="GL598" s="9"/>
      <c r="GM598" s="9"/>
      <c r="GN598" s="9"/>
      <c r="GO598" s="9"/>
      <c r="GP598" s="9"/>
      <c r="GQ598" s="9"/>
      <c r="GR598" s="9"/>
      <c r="GS598" s="9"/>
      <c r="GT598" s="9"/>
      <c r="GU598" s="9"/>
      <c r="GV598" s="9"/>
      <c r="GW598" s="9"/>
      <c r="GX598" s="9"/>
      <c r="GY598" s="9"/>
      <c r="GZ598" s="9"/>
      <c r="HA598" s="9"/>
      <c r="HB598" s="9"/>
      <c r="HC598" s="9"/>
      <c r="HD598" s="9"/>
      <c r="HE598" s="9"/>
      <c r="HF598" s="9"/>
      <c r="HG598" s="9"/>
      <c r="HH598" s="9"/>
      <c r="HI598" s="9"/>
      <c r="HJ598" s="9"/>
      <c r="HK598" s="9"/>
      <c r="HL598" s="9"/>
      <c r="HM598" s="9"/>
      <c r="HN598" s="9"/>
      <c r="HO598" s="9"/>
      <c r="HP598" s="9"/>
      <c r="HQ598" s="9"/>
      <c r="HR598" s="9"/>
      <c r="HS598" s="9"/>
      <c r="HT598" s="9"/>
      <c r="HU598" s="9"/>
      <c r="HV598" s="9"/>
      <c r="HW598" s="9"/>
      <c r="HX598" s="9"/>
      <c r="HY598" s="9"/>
      <c r="HZ598" s="9"/>
      <c r="IA598" s="9"/>
      <c r="IB598" s="9"/>
      <c r="IC598" s="9"/>
      <c r="ID598" s="9"/>
      <c r="IE598" s="9"/>
      <c r="IF598" s="9"/>
      <c r="IG598" s="9"/>
      <c r="IH598" s="9"/>
      <c r="II598" s="9"/>
      <c r="IJ598" s="9"/>
      <c r="IK598" s="9"/>
      <c r="IL598" s="9"/>
      <c r="IM598" s="9"/>
      <c r="IN598" s="9"/>
      <c r="IO598" s="9"/>
      <c r="IP598" s="9"/>
      <c r="IQ598" s="9"/>
      <c r="IR598" s="9"/>
      <c r="IS598" s="9"/>
      <c r="IT598" s="9"/>
      <c r="IU598" s="9"/>
      <c r="IV598" s="9"/>
    </row>
    <row r="599" spans="1:256" outlineLevel="1">
      <c r="A599" s="16"/>
      <c r="B599" s="44"/>
      <c r="C599" s="20"/>
      <c r="D599" s="20"/>
      <c r="E599" s="20"/>
      <c r="F599" s="21"/>
      <c r="G599" s="21"/>
      <c r="H599" s="21"/>
      <c r="I599" s="21"/>
      <c r="J599" s="21"/>
      <c r="K599" s="21"/>
      <c r="L599" s="21"/>
      <c r="M599" s="21"/>
      <c r="N599" s="21"/>
      <c r="O599" s="21"/>
      <c r="P599" s="21"/>
      <c r="Q599" s="21"/>
      <c r="R599" s="20"/>
      <c r="S599" s="22">
        <f t="shared" si="40"/>
        <v>0</v>
      </c>
      <c r="T599" s="22">
        <f>COUNTIF($V$4:V599,V599)</f>
        <v>328</v>
      </c>
      <c r="U599" s="22" t="str">
        <f>IF(T599=1,COUNTIF($T$4:T599,1),"")</f>
        <v/>
      </c>
      <c r="V599" s="23" t="str">
        <f t="shared" si="41"/>
        <v/>
      </c>
      <c r="W599" s="23">
        <f t="shared" si="39"/>
        <v>0</v>
      </c>
      <c r="X599" s="24"/>
      <c r="Y599" s="23"/>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c r="EB599" s="9"/>
      <c r="EC599" s="9"/>
      <c r="ED599" s="9"/>
      <c r="EE599" s="9"/>
      <c r="EF599" s="9"/>
      <c r="EG599" s="9"/>
      <c r="EH599" s="9"/>
      <c r="EI599" s="9"/>
      <c r="EJ599" s="9"/>
      <c r="EK599" s="9"/>
      <c r="EL599" s="9"/>
      <c r="EM599" s="9"/>
      <c r="EN599" s="9"/>
      <c r="EO599" s="9"/>
      <c r="EP599" s="9"/>
      <c r="EQ599" s="9"/>
      <c r="ER599" s="9"/>
      <c r="ES599" s="9"/>
      <c r="ET599" s="9"/>
      <c r="EU599" s="9"/>
      <c r="EV599" s="9"/>
      <c r="EW599" s="9"/>
      <c r="EX599" s="9"/>
      <c r="EY599" s="9"/>
      <c r="EZ599" s="9"/>
      <c r="FA599" s="9"/>
      <c r="FB599" s="9"/>
      <c r="FC599" s="9"/>
      <c r="FD599" s="9"/>
      <c r="FE599" s="9"/>
      <c r="FF599" s="9"/>
      <c r="FG599" s="9"/>
      <c r="FH599" s="9"/>
      <c r="FI599" s="9"/>
      <c r="FJ599" s="9"/>
      <c r="FK599" s="9"/>
      <c r="FL599" s="9"/>
      <c r="FM599" s="9"/>
      <c r="FN599" s="9"/>
      <c r="FO599" s="9"/>
      <c r="FP599" s="9"/>
      <c r="FQ599" s="9"/>
      <c r="FR599" s="9"/>
      <c r="FS599" s="9"/>
      <c r="FT599" s="9"/>
      <c r="FU599" s="9"/>
      <c r="FV599" s="9"/>
      <c r="FW599" s="9"/>
      <c r="FX599" s="9"/>
      <c r="FY599" s="9"/>
      <c r="FZ599" s="9"/>
      <c r="GA599" s="9"/>
      <c r="GB599" s="9"/>
      <c r="GC599" s="9"/>
      <c r="GD599" s="9"/>
      <c r="GE599" s="9"/>
      <c r="GF599" s="9"/>
      <c r="GG599" s="9"/>
      <c r="GH599" s="9"/>
      <c r="GI599" s="9"/>
      <c r="GJ599" s="9"/>
      <c r="GK599" s="9"/>
      <c r="GL599" s="9"/>
      <c r="GM599" s="9"/>
      <c r="GN599" s="9"/>
      <c r="GO599" s="9"/>
      <c r="GP599" s="9"/>
      <c r="GQ599" s="9"/>
      <c r="GR599" s="9"/>
      <c r="GS599" s="9"/>
      <c r="GT599" s="9"/>
      <c r="GU599" s="9"/>
      <c r="GV599" s="9"/>
      <c r="GW599" s="9"/>
      <c r="GX599" s="9"/>
      <c r="GY599" s="9"/>
      <c r="GZ599" s="9"/>
      <c r="HA599" s="9"/>
      <c r="HB599" s="9"/>
      <c r="HC599" s="9"/>
      <c r="HD599" s="9"/>
      <c r="HE599" s="9"/>
      <c r="HF599" s="9"/>
      <c r="HG599" s="9"/>
      <c r="HH599" s="9"/>
      <c r="HI599" s="9"/>
      <c r="HJ599" s="9"/>
      <c r="HK599" s="9"/>
      <c r="HL599" s="9"/>
      <c r="HM599" s="9"/>
      <c r="HN599" s="9"/>
      <c r="HO599" s="9"/>
      <c r="HP599" s="9"/>
      <c r="HQ599" s="9"/>
      <c r="HR599" s="9"/>
      <c r="HS599" s="9"/>
      <c r="HT599" s="9"/>
      <c r="HU599" s="9"/>
      <c r="HV599" s="9"/>
      <c r="HW599" s="9"/>
      <c r="HX599" s="9"/>
      <c r="HY599" s="9"/>
      <c r="HZ599" s="9"/>
      <c r="IA599" s="9"/>
      <c r="IB599" s="9"/>
      <c r="IC599" s="9"/>
      <c r="ID599" s="9"/>
      <c r="IE599" s="9"/>
      <c r="IF599" s="9"/>
      <c r="IG599" s="9"/>
      <c r="IH599" s="9"/>
      <c r="II599" s="9"/>
      <c r="IJ599" s="9"/>
      <c r="IK599" s="9"/>
      <c r="IL599" s="9"/>
      <c r="IM599" s="9"/>
      <c r="IN599" s="9"/>
      <c r="IO599" s="9"/>
      <c r="IP599" s="9"/>
      <c r="IQ599" s="9"/>
      <c r="IR599" s="9"/>
      <c r="IS599" s="9"/>
      <c r="IT599" s="9"/>
      <c r="IU599" s="9"/>
      <c r="IV599" s="9"/>
    </row>
    <row r="600" spans="1:256" outlineLevel="1">
      <c r="A600" s="16"/>
      <c r="B600" s="44"/>
      <c r="C600" s="20"/>
      <c r="D600" s="20"/>
      <c r="E600" s="20"/>
      <c r="F600" s="21"/>
      <c r="G600" s="21"/>
      <c r="H600" s="21"/>
      <c r="I600" s="21"/>
      <c r="J600" s="21"/>
      <c r="K600" s="21"/>
      <c r="L600" s="21"/>
      <c r="M600" s="21"/>
      <c r="N600" s="21"/>
      <c r="O600" s="21"/>
      <c r="P600" s="21"/>
      <c r="Q600" s="21"/>
      <c r="R600" s="20"/>
      <c r="S600" s="22">
        <f t="shared" si="40"/>
        <v>0</v>
      </c>
      <c r="T600" s="22">
        <f>COUNTIF($V$4:V600,V600)</f>
        <v>329</v>
      </c>
      <c r="U600" s="22" t="str">
        <f>IF(T600=1,COUNTIF($T$4:T600,1),"")</f>
        <v/>
      </c>
      <c r="V600" s="23" t="str">
        <f t="shared" si="41"/>
        <v/>
      </c>
      <c r="W600" s="23">
        <f t="shared" si="39"/>
        <v>0</v>
      </c>
      <c r="X600" s="24"/>
      <c r="Y600" s="23"/>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c r="EB600" s="9"/>
      <c r="EC600" s="9"/>
      <c r="ED600" s="9"/>
      <c r="EE600" s="9"/>
      <c r="EF600" s="9"/>
      <c r="EG600" s="9"/>
      <c r="EH600" s="9"/>
      <c r="EI600" s="9"/>
      <c r="EJ600" s="9"/>
      <c r="EK600" s="9"/>
      <c r="EL600" s="9"/>
      <c r="EM600" s="9"/>
      <c r="EN600" s="9"/>
      <c r="EO600" s="9"/>
      <c r="EP600" s="9"/>
      <c r="EQ600" s="9"/>
      <c r="ER600" s="9"/>
      <c r="ES600" s="9"/>
      <c r="ET600" s="9"/>
      <c r="EU600" s="9"/>
      <c r="EV600" s="9"/>
      <c r="EW600" s="9"/>
      <c r="EX600" s="9"/>
      <c r="EY600" s="9"/>
      <c r="EZ600" s="9"/>
      <c r="FA600" s="9"/>
      <c r="FB600" s="9"/>
      <c r="FC600" s="9"/>
      <c r="FD600" s="9"/>
      <c r="FE600" s="9"/>
      <c r="FF600" s="9"/>
      <c r="FG600" s="9"/>
      <c r="FH600" s="9"/>
      <c r="FI600" s="9"/>
      <c r="FJ600" s="9"/>
      <c r="FK600" s="9"/>
      <c r="FL600" s="9"/>
      <c r="FM600" s="9"/>
      <c r="FN600" s="9"/>
      <c r="FO600" s="9"/>
      <c r="FP600" s="9"/>
      <c r="FQ600" s="9"/>
      <c r="FR600" s="9"/>
      <c r="FS600" s="9"/>
      <c r="FT600" s="9"/>
      <c r="FU600" s="9"/>
      <c r="FV600" s="9"/>
      <c r="FW600" s="9"/>
      <c r="FX600" s="9"/>
      <c r="FY600" s="9"/>
      <c r="FZ600" s="9"/>
      <c r="GA600" s="9"/>
      <c r="GB600" s="9"/>
      <c r="GC600" s="9"/>
      <c r="GD600" s="9"/>
      <c r="GE600" s="9"/>
      <c r="GF600" s="9"/>
      <c r="GG600" s="9"/>
      <c r="GH600" s="9"/>
      <c r="GI600" s="9"/>
      <c r="GJ600" s="9"/>
      <c r="GK600" s="9"/>
      <c r="GL600" s="9"/>
      <c r="GM600" s="9"/>
      <c r="GN600" s="9"/>
      <c r="GO600" s="9"/>
      <c r="GP600" s="9"/>
      <c r="GQ600" s="9"/>
      <c r="GR600" s="9"/>
      <c r="GS600" s="9"/>
      <c r="GT600" s="9"/>
      <c r="GU600" s="9"/>
      <c r="GV600" s="9"/>
      <c r="GW600" s="9"/>
      <c r="GX600" s="9"/>
      <c r="GY600" s="9"/>
      <c r="GZ600" s="9"/>
      <c r="HA600" s="9"/>
      <c r="HB600" s="9"/>
      <c r="HC600" s="9"/>
      <c r="HD600" s="9"/>
      <c r="HE600" s="9"/>
      <c r="HF600" s="9"/>
      <c r="HG600" s="9"/>
      <c r="HH600" s="9"/>
      <c r="HI600" s="9"/>
      <c r="HJ600" s="9"/>
      <c r="HK600" s="9"/>
      <c r="HL600" s="9"/>
      <c r="HM600" s="9"/>
      <c r="HN600" s="9"/>
      <c r="HO600" s="9"/>
      <c r="HP600" s="9"/>
      <c r="HQ600" s="9"/>
      <c r="HR600" s="9"/>
      <c r="HS600" s="9"/>
      <c r="HT600" s="9"/>
      <c r="HU600" s="9"/>
      <c r="HV600" s="9"/>
      <c r="HW600" s="9"/>
      <c r="HX600" s="9"/>
      <c r="HY600" s="9"/>
      <c r="HZ600" s="9"/>
      <c r="IA600" s="9"/>
      <c r="IB600" s="9"/>
      <c r="IC600" s="9"/>
      <c r="ID600" s="9"/>
      <c r="IE600" s="9"/>
      <c r="IF600" s="9"/>
      <c r="IG600" s="9"/>
      <c r="IH600" s="9"/>
      <c r="II600" s="9"/>
      <c r="IJ600" s="9"/>
      <c r="IK600" s="9"/>
      <c r="IL600" s="9"/>
      <c r="IM600" s="9"/>
      <c r="IN600" s="9"/>
      <c r="IO600" s="9"/>
      <c r="IP600" s="9"/>
      <c r="IQ600" s="9"/>
      <c r="IR600" s="9"/>
      <c r="IS600" s="9"/>
      <c r="IT600" s="9"/>
      <c r="IU600" s="9"/>
      <c r="IV600" s="9"/>
    </row>
    <row r="601" spans="1:256" outlineLevel="1">
      <c r="A601" s="16"/>
      <c r="B601" s="44"/>
      <c r="C601" s="20"/>
      <c r="D601" s="20"/>
      <c r="E601" s="20"/>
      <c r="F601" s="21"/>
      <c r="G601" s="21"/>
      <c r="H601" s="21"/>
      <c r="I601" s="21"/>
      <c r="J601" s="21"/>
      <c r="K601" s="21"/>
      <c r="L601" s="21"/>
      <c r="M601" s="21"/>
      <c r="N601" s="21"/>
      <c r="O601" s="21"/>
      <c r="P601" s="21"/>
      <c r="Q601" s="21"/>
      <c r="R601" s="20"/>
      <c r="S601" s="22">
        <f t="shared" si="40"/>
        <v>0</v>
      </c>
      <c r="T601" s="22">
        <f>COUNTIF($V$4:V601,V601)</f>
        <v>330</v>
      </c>
      <c r="U601" s="22" t="str">
        <f>IF(T601=1,COUNTIF($T$4:T601,1),"")</f>
        <v/>
      </c>
      <c r="V601" s="23" t="str">
        <f t="shared" si="41"/>
        <v/>
      </c>
      <c r="W601" s="23">
        <f t="shared" si="39"/>
        <v>0</v>
      </c>
      <c r="X601" s="24"/>
      <c r="Y601" s="23"/>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c r="EB601" s="9"/>
      <c r="EC601" s="9"/>
      <c r="ED601" s="9"/>
      <c r="EE601" s="9"/>
      <c r="EF601" s="9"/>
      <c r="EG601" s="9"/>
      <c r="EH601" s="9"/>
      <c r="EI601" s="9"/>
      <c r="EJ601" s="9"/>
      <c r="EK601" s="9"/>
      <c r="EL601" s="9"/>
      <c r="EM601" s="9"/>
      <c r="EN601" s="9"/>
      <c r="EO601" s="9"/>
      <c r="EP601" s="9"/>
      <c r="EQ601" s="9"/>
      <c r="ER601" s="9"/>
      <c r="ES601" s="9"/>
      <c r="ET601" s="9"/>
      <c r="EU601" s="9"/>
      <c r="EV601" s="9"/>
      <c r="EW601" s="9"/>
      <c r="EX601" s="9"/>
      <c r="EY601" s="9"/>
      <c r="EZ601" s="9"/>
      <c r="FA601" s="9"/>
      <c r="FB601" s="9"/>
      <c r="FC601" s="9"/>
      <c r="FD601" s="9"/>
      <c r="FE601" s="9"/>
      <c r="FF601" s="9"/>
      <c r="FG601" s="9"/>
      <c r="FH601" s="9"/>
      <c r="FI601" s="9"/>
      <c r="FJ601" s="9"/>
      <c r="FK601" s="9"/>
      <c r="FL601" s="9"/>
      <c r="FM601" s="9"/>
      <c r="FN601" s="9"/>
      <c r="FO601" s="9"/>
      <c r="FP601" s="9"/>
      <c r="FQ601" s="9"/>
      <c r="FR601" s="9"/>
      <c r="FS601" s="9"/>
      <c r="FT601" s="9"/>
      <c r="FU601" s="9"/>
      <c r="FV601" s="9"/>
      <c r="FW601" s="9"/>
      <c r="FX601" s="9"/>
      <c r="FY601" s="9"/>
      <c r="FZ601" s="9"/>
      <c r="GA601" s="9"/>
      <c r="GB601" s="9"/>
      <c r="GC601" s="9"/>
      <c r="GD601" s="9"/>
      <c r="GE601" s="9"/>
      <c r="GF601" s="9"/>
      <c r="GG601" s="9"/>
      <c r="GH601" s="9"/>
      <c r="GI601" s="9"/>
      <c r="GJ601" s="9"/>
      <c r="GK601" s="9"/>
      <c r="GL601" s="9"/>
      <c r="GM601" s="9"/>
      <c r="GN601" s="9"/>
      <c r="GO601" s="9"/>
      <c r="GP601" s="9"/>
      <c r="GQ601" s="9"/>
      <c r="GR601" s="9"/>
      <c r="GS601" s="9"/>
      <c r="GT601" s="9"/>
      <c r="GU601" s="9"/>
      <c r="GV601" s="9"/>
      <c r="GW601" s="9"/>
      <c r="GX601" s="9"/>
      <c r="GY601" s="9"/>
      <c r="GZ601" s="9"/>
      <c r="HA601" s="9"/>
      <c r="HB601" s="9"/>
      <c r="HC601" s="9"/>
      <c r="HD601" s="9"/>
      <c r="HE601" s="9"/>
      <c r="HF601" s="9"/>
      <c r="HG601" s="9"/>
      <c r="HH601" s="9"/>
      <c r="HI601" s="9"/>
      <c r="HJ601" s="9"/>
      <c r="HK601" s="9"/>
      <c r="HL601" s="9"/>
      <c r="HM601" s="9"/>
      <c r="HN601" s="9"/>
      <c r="HO601" s="9"/>
      <c r="HP601" s="9"/>
      <c r="HQ601" s="9"/>
      <c r="HR601" s="9"/>
      <c r="HS601" s="9"/>
      <c r="HT601" s="9"/>
      <c r="HU601" s="9"/>
      <c r="HV601" s="9"/>
      <c r="HW601" s="9"/>
      <c r="HX601" s="9"/>
      <c r="HY601" s="9"/>
      <c r="HZ601" s="9"/>
      <c r="IA601" s="9"/>
      <c r="IB601" s="9"/>
      <c r="IC601" s="9"/>
      <c r="ID601" s="9"/>
      <c r="IE601" s="9"/>
      <c r="IF601" s="9"/>
      <c r="IG601" s="9"/>
      <c r="IH601" s="9"/>
      <c r="II601" s="9"/>
      <c r="IJ601" s="9"/>
      <c r="IK601" s="9"/>
      <c r="IL601" s="9"/>
      <c r="IM601" s="9"/>
      <c r="IN601" s="9"/>
      <c r="IO601" s="9"/>
      <c r="IP601" s="9"/>
      <c r="IQ601" s="9"/>
      <c r="IR601" s="9"/>
      <c r="IS601" s="9"/>
      <c r="IT601" s="9"/>
      <c r="IU601" s="9"/>
      <c r="IV601" s="9"/>
    </row>
    <row r="602" spans="1:256" outlineLevel="1">
      <c r="A602" s="45"/>
      <c r="B602" s="46"/>
      <c r="C602" s="46"/>
      <c r="D602" s="46" t="s">
        <v>229</v>
      </c>
      <c r="E602" s="46"/>
      <c r="F602" s="47">
        <f>SUBTOTAL(103,'施設状況 (要更新)'!$F$4:$F$601)</f>
        <v>268</v>
      </c>
      <c r="G602" s="47">
        <f>SUBTOTAL(109,'施設状況 (要更新)'!$G$4:$G$601)</f>
        <v>14345</v>
      </c>
      <c r="H602" s="47">
        <f>SUBTOTAL(109,'施設状況 (要更新)'!$H$4:$H$601)</f>
        <v>13425</v>
      </c>
      <c r="I602" s="47">
        <f>SUBTOTAL(109,'施設状況 (要更新)'!$I$4:$I$601)</f>
        <v>9531</v>
      </c>
      <c r="J602" s="46" t="s">
        <v>230</v>
      </c>
      <c r="K602" s="48">
        <f>SUBTOTAL(109,'施設状況 (要更新)'!$K$4:$K$601)</f>
        <v>13021</v>
      </c>
      <c r="L602" s="48">
        <f>SUBTOTAL(109,'施設状況 (要更新)'!$L$4:$L$601)</f>
        <v>13005</v>
      </c>
      <c r="M602" s="48">
        <f>SUBTOTAL(109,'施設状況 (要更新)'!$M$4:$M$601)</f>
        <v>2054</v>
      </c>
      <c r="N602" s="48">
        <f>SUBTOTAL(109,'施設状況 (要更新)'!$N$4:$N$601)</f>
        <v>7231</v>
      </c>
      <c r="O602" s="48">
        <f>SUBTOTAL(109,'施設状況 (要更新)'!$O$4:$O$601)</f>
        <v>9146</v>
      </c>
      <c r="P602" s="48"/>
      <c r="Q602" s="48"/>
      <c r="R602" s="49">
        <f>SUBTOTAL(109,'施設状況 (要更新)'!$R$4:$R$601)</f>
        <v>35172</v>
      </c>
      <c r="S602" s="22"/>
      <c r="T602" s="22"/>
      <c r="U602" s="22"/>
      <c r="Y602" s="23"/>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c r="EP602" s="9"/>
      <c r="EQ602" s="9"/>
      <c r="ER602" s="9"/>
      <c r="ES602" s="9"/>
      <c r="ET602" s="9"/>
      <c r="EU602" s="9"/>
      <c r="EV602" s="9"/>
      <c r="EW602" s="9"/>
      <c r="EX602" s="9"/>
      <c r="EY602" s="9"/>
      <c r="EZ602" s="9"/>
      <c r="FA602" s="9"/>
      <c r="FB602" s="9"/>
      <c r="FC602" s="9"/>
      <c r="FD602" s="9"/>
      <c r="FE602" s="9"/>
      <c r="FF602" s="9"/>
      <c r="FG602" s="9"/>
      <c r="FH602" s="9"/>
      <c r="FI602" s="9"/>
      <c r="FJ602" s="9"/>
      <c r="FK602" s="9"/>
      <c r="FL602" s="9"/>
      <c r="FM602" s="9"/>
      <c r="FN602" s="9"/>
      <c r="FO602" s="9"/>
      <c r="FP602" s="9"/>
      <c r="FQ602" s="9"/>
      <c r="FR602" s="9"/>
      <c r="FS602" s="9"/>
      <c r="FT602" s="9"/>
      <c r="FU602" s="9"/>
      <c r="FV602" s="9"/>
      <c r="FW602" s="9"/>
      <c r="FX602" s="9"/>
      <c r="FY602" s="9"/>
      <c r="FZ602" s="9"/>
      <c r="GA602" s="9"/>
      <c r="GB602" s="9"/>
      <c r="GC602" s="9"/>
      <c r="GD602" s="9"/>
      <c r="GE602" s="9"/>
      <c r="GF602" s="9"/>
      <c r="GG602" s="9"/>
      <c r="GH602" s="9"/>
      <c r="GI602" s="9"/>
      <c r="GJ602" s="9"/>
      <c r="GK602" s="9"/>
      <c r="GL602" s="9"/>
      <c r="GM602" s="9"/>
      <c r="GN602" s="9"/>
      <c r="GO602" s="9"/>
      <c r="GP602" s="9"/>
      <c r="GQ602" s="9"/>
      <c r="GR602" s="9"/>
      <c r="GS602" s="9"/>
      <c r="GT602" s="9"/>
      <c r="GU602" s="9"/>
      <c r="GV602" s="9"/>
      <c r="GW602" s="9"/>
      <c r="GX602" s="9"/>
      <c r="GY602" s="9"/>
      <c r="GZ602" s="9"/>
      <c r="HA602" s="9"/>
      <c r="HB602" s="9"/>
      <c r="HC602" s="9"/>
      <c r="HD602" s="9"/>
      <c r="HE602" s="9"/>
      <c r="HF602" s="9"/>
      <c r="HG602" s="9"/>
      <c r="HH602" s="9"/>
      <c r="HI602" s="9"/>
      <c r="HJ602" s="9"/>
      <c r="HK602" s="9"/>
      <c r="HL602" s="9"/>
      <c r="HM602" s="9"/>
      <c r="HN602" s="9"/>
      <c r="HO602" s="9"/>
      <c r="HP602" s="9"/>
      <c r="HQ602" s="9"/>
      <c r="HR602" s="9"/>
      <c r="HS602" s="9"/>
      <c r="HT602" s="9"/>
      <c r="HU602" s="9"/>
      <c r="HV602" s="9"/>
      <c r="HW602" s="9"/>
      <c r="HX602" s="9"/>
      <c r="HY602" s="9"/>
      <c r="HZ602" s="9"/>
      <c r="IA602" s="9"/>
      <c r="IB602" s="9"/>
      <c r="IC602" s="9"/>
      <c r="ID602" s="9"/>
      <c r="IE602" s="9"/>
      <c r="IF602" s="9"/>
      <c r="IG602" s="9"/>
      <c r="IH602" s="9"/>
      <c r="II602" s="9"/>
      <c r="IJ602" s="9"/>
      <c r="IK602" s="9"/>
      <c r="IL602" s="9"/>
      <c r="IM602" s="9"/>
      <c r="IN602" s="9"/>
      <c r="IO602" s="9"/>
      <c r="IP602" s="9"/>
      <c r="IQ602" s="9"/>
      <c r="IR602" s="9"/>
      <c r="IS602" s="9"/>
      <c r="IT602" s="9"/>
      <c r="IU602" s="9"/>
      <c r="IV602" s="9"/>
    </row>
    <row r="603" spans="1:256" outlineLevel="1">
      <c r="A603" s="22"/>
      <c r="B603" s="22"/>
      <c r="C603" s="22"/>
      <c r="D603" s="22"/>
      <c r="E603" s="22"/>
      <c r="F603" s="50">
        <v>1</v>
      </c>
      <c r="G603" s="50">
        <v>2</v>
      </c>
      <c r="H603" s="50">
        <v>3</v>
      </c>
      <c r="I603" s="50">
        <v>4</v>
      </c>
      <c r="J603" s="50">
        <v>5</v>
      </c>
      <c r="K603" s="50">
        <v>6</v>
      </c>
      <c r="L603" s="50">
        <v>7</v>
      </c>
      <c r="M603" s="50">
        <v>8</v>
      </c>
      <c r="N603" s="50">
        <v>9</v>
      </c>
      <c r="O603" s="50">
        <v>10</v>
      </c>
      <c r="P603" s="50">
        <v>11</v>
      </c>
      <c r="Q603" s="50"/>
      <c r="R603" s="50">
        <v>12</v>
      </c>
      <c r="S603" s="50">
        <v>13</v>
      </c>
      <c r="T603" s="50"/>
      <c r="U603" s="50"/>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c r="EB603" s="9"/>
      <c r="EC603" s="9"/>
      <c r="ED603" s="9"/>
      <c r="EE603" s="9"/>
      <c r="EF603" s="9"/>
      <c r="EG603" s="9"/>
      <c r="EH603" s="9"/>
      <c r="EI603" s="9"/>
      <c r="EJ603" s="9"/>
      <c r="EK603" s="9"/>
      <c r="EL603" s="9"/>
      <c r="EM603" s="9"/>
      <c r="EN603" s="9"/>
      <c r="EO603" s="9"/>
      <c r="EP603" s="9"/>
      <c r="EQ603" s="9"/>
      <c r="ER603" s="9"/>
      <c r="ES603" s="9"/>
      <c r="ET603" s="9"/>
      <c r="EU603" s="9"/>
      <c r="EV603" s="9"/>
      <c r="EW603" s="9"/>
      <c r="EX603" s="9"/>
      <c r="EY603" s="9"/>
      <c r="EZ603" s="9"/>
      <c r="FA603" s="9"/>
      <c r="FB603" s="9"/>
      <c r="FC603" s="9"/>
      <c r="FD603" s="9"/>
      <c r="FE603" s="9"/>
      <c r="FF603" s="9"/>
      <c r="FG603" s="9"/>
      <c r="FH603" s="9"/>
      <c r="FI603" s="9"/>
      <c r="FJ603" s="9"/>
      <c r="FK603" s="9"/>
      <c r="FL603" s="9"/>
      <c r="FM603" s="9"/>
      <c r="FN603" s="9"/>
      <c r="FO603" s="9"/>
      <c r="FP603" s="9"/>
      <c r="FQ603" s="9"/>
      <c r="FR603" s="9"/>
      <c r="FS603" s="9"/>
      <c r="FT603" s="9"/>
      <c r="FU603" s="9"/>
      <c r="FV603" s="9"/>
      <c r="FW603" s="9"/>
      <c r="FX603" s="9"/>
      <c r="FY603" s="9"/>
      <c r="FZ603" s="9"/>
      <c r="GA603" s="9"/>
      <c r="GB603" s="9"/>
      <c r="GC603" s="9"/>
      <c r="GD603" s="9"/>
      <c r="GE603" s="9"/>
      <c r="GF603" s="9"/>
      <c r="GG603" s="9"/>
      <c r="GH603" s="9"/>
      <c r="GI603" s="9"/>
      <c r="GJ603" s="9"/>
      <c r="GK603" s="9"/>
      <c r="GL603" s="9"/>
      <c r="GM603" s="9"/>
      <c r="GN603" s="9"/>
      <c r="GO603" s="9"/>
      <c r="GP603" s="9"/>
      <c r="GQ603" s="9"/>
      <c r="GR603" s="9"/>
      <c r="GS603" s="9"/>
      <c r="GT603" s="9"/>
      <c r="GU603" s="9"/>
      <c r="GV603" s="9"/>
      <c r="GW603" s="9"/>
      <c r="GX603" s="9"/>
      <c r="GY603" s="9"/>
      <c r="GZ603" s="9"/>
      <c r="HA603" s="9"/>
      <c r="HB603" s="9"/>
      <c r="HC603" s="9"/>
      <c r="HD603" s="9"/>
      <c r="HE603" s="9"/>
      <c r="HF603" s="9"/>
      <c r="HG603" s="9"/>
      <c r="HH603" s="9"/>
      <c r="HI603" s="9"/>
      <c r="HJ603" s="9"/>
      <c r="HK603" s="9"/>
      <c r="HL603" s="9"/>
      <c r="HM603" s="9"/>
      <c r="HN603" s="9"/>
      <c r="HO603" s="9"/>
      <c r="HP603" s="9"/>
      <c r="HQ603" s="9"/>
      <c r="HR603" s="9"/>
      <c r="HS603" s="9"/>
      <c r="HT603" s="9"/>
      <c r="HU603" s="9"/>
      <c r="HV603" s="9"/>
      <c r="HW603" s="9"/>
      <c r="HX603" s="9"/>
      <c r="HY603" s="9"/>
      <c r="HZ603" s="9"/>
      <c r="IA603" s="9"/>
      <c r="IB603" s="9"/>
      <c r="IC603" s="9"/>
      <c r="ID603" s="9"/>
      <c r="IE603" s="9"/>
      <c r="IF603" s="9"/>
      <c r="IG603" s="9"/>
      <c r="IH603" s="9"/>
      <c r="II603" s="9"/>
      <c r="IJ603" s="9"/>
      <c r="IK603" s="9"/>
      <c r="IL603" s="9"/>
      <c r="IM603" s="9"/>
      <c r="IN603" s="9"/>
      <c r="IO603" s="9"/>
      <c r="IP603" s="9"/>
      <c r="IQ603" s="9"/>
      <c r="IR603" s="9"/>
      <c r="IS603" s="9"/>
      <c r="IT603" s="9"/>
      <c r="IU603" s="9"/>
      <c r="IV603" s="9"/>
    </row>
    <row r="604" spans="1:256" outlineLevel="1"/>
    <row r="605" spans="1:256" outlineLevel="1"/>
    <row r="606" spans="1:256" outlineLevel="1"/>
    <row r="607" spans="1:256" outlineLevel="1"/>
    <row r="608" spans="1:256" outlineLevel="1"/>
    <row r="611" spans="1:16">
      <c r="A611" s="11" t="s">
        <v>1413</v>
      </c>
    </row>
    <row r="612" spans="1:16">
      <c r="A612" s="1220">
        <v>200030</v>
      </c>
      <c r="B612" s="1221" t="s">
        <v>199</v>
      </c>
      <c r="C612" s="1221" t="s">
        <v>531</v>
      </c>
      <c r="D612" s="1221" t="s">
        <v>1577</v>
      </c>
      <c r="E612" s="1221" t="s">
        <v>1572</v>
      </c>
      <c r="F612" s="1222" t="s">
        <v>1573</v>
      </c>
      <c r="G612" s="1222"/>
      <c r="H612" s="1222"/>
      <c r="I612" s="1222"/>
      <c r="J612" s="1221"/>
      <c r="K612" s="1222"/>
      <c r="L612" s="1222"/>
      <c r="M612" s="1222">
        <v>18</v>
      </c>
      <c r="N612" s="1222">
        <v>17</v>
      </c>
      <c r="O612" s="1222">
        <f>SUM(M612:N612)</f>
        <v>35</v>
      </c>
      <c r="P612" s="1222">
        <f>K612+L612+O612</f>
        <v>35</v>
      </c>
    </row>
    <row r="613" spans="1:16">
      <c r="A613" s="1220">
        <v>200059</v>
      </c>
      <c r="B613" s="1221" t="s">
        <v>199</v>
      </c>
      <c r="C613" s="1221" t="s">
        <v>531</v>
      </c>
      <c r="D613" s="1221" t="s">
        <v>1069</v>
      </c>
      <c r="E613" s="1221" t="s">
        <v>203</v>
      </c>
      <c r="F613" s="1222" t="s">
        <v>1574</v>
      </c>
      <c r="G613" s="1222"/>
      <c r="H613" s="1222"/>
      <c r="I613" s="1222"/>
      <c r="J613" s="1221"/>
      <c r="K613" s="1222"/>
      <c r="L613" s="1222"/>
      <c r="M613" s="1222">
        <v>9</v>
      </c>
      <c r="N613" s="1222">
        <v>20</v>
      </c>
      <c r="O613" s="1222">
        <f>SUM(M613:N613)</f>
        <v>29</v>
      </c>
      <c r="P613" s="1222">
        <f>K613+L613+O613</f>
        <v>29</v>
      </c>
    </row>
    <row r="614" spans="1:16">
      <c r="A614" s="1220">
        <v>700012</v>
      </c>
      <c r="B614" s="1221" t="s">
        <v>199</v>
      </c>
      <c r="C614" s="1221" t="s">
        <v>531</v>
      </c>
      <c r="D614" s="1221" t="s">
        <v>1578</v>
      </c>
      <c r="E614" s="1221" t="s">
        <v>242</v>
      </c>
      <c r="F614" s="1222" t="s">
        <v>1579</v>
      </c>
      <c r="G614" s="1222"/>
      <c r="H614" s="1222"/>
      <c r="I614" s="1222"/>
      <c r="J614" s="1221"/>
      <c r="K614" s="1222"/>
      <c r="L614" s="1222"/>
      <c r="M614" s="1222">
        <v>8</v>
      </c>
      <c r="N614" s="1222">
        <v>12</v>
      </c>
      <c r="O614" s="1222">
        <f t="shared" ref="O614:O616" si="42">SUM(M614:N614)</f>
        <v>20</v>
      </c>
      <c r="P614" s="1222">
        <f t="shared" ref="P614:P616" si="43">K614+L614+O614</f>
        <v>20</v>
      </c>
    </row>
    <row r="615" spans="1:16">
      <c r="A615" s="1220">
        <v>750010</v>
      </c>
      <c r="B615" s="1221" t="s">
        <v>199</v>
      </c>
      <c r="C615" s="1221" t="s">
        <v>531</v>
      </c>
      <c r="D615" s="1221" t="s">
        <v>1577</v>
      </c>
      <c r="E615" s="1221" t="s">
        <v>243</v>
      </c>
      <c r="F615" s="1222" t="s">
        <v>1575</v>
      </c>
      <c r="G615" s="1222"/>
      <c r="H615" s="1222"/>
      <c r="I615" s="1222"/>
      <c r="J615" s="1221"/>
      <c r="K615" s="1222"/>
      <c r="L615" s="1222"/>
      <c r="M615" s="1222">
        <v>13</v>
      </c>
      <c r="N615" s="1222">
        <v>44</v>
      </c>
      <c r="O615" s="1222">
        <f t="shared" si="42"/>
        <v>57</v>
      </c>
      <c r="P615" s="1222">
        <f t="shared" si="43"/>
        <v>57</v>
      </c>
    </row>
    <row r="616" spans="1:16">
      <c r="A616" s="1220">
        <v>750015</v>
      </c>
      <c r="B616" s="1221" t="s">
        <v>199</v>
      </c>
      <c r="C616" s="1221" t="s">
        <v>531</v>
      </c>
      <c r="D616" s="1221" t="s">
        <v>1577</v>
      </c>
      <c r="E616" s="1221" t="s">
        <v>243</v>
      </c>
      <c r="F616" s="1222" t="s">
        <v>1576</v>
      </c>
      <c r="G616" s="1222"/>
      <c r="H616" s="1222"/>
      <c r="I616" s="1222"/>
      <c r="J616" s="1221"/>
      <c r="K616" s="1222"/>
      <c r="L616" s="1222"/>
      <c r="M616" s="1222">
        <v>8</v>
      </c>
      <c r="N616" s="1222">
        <v>28</v>
      </c>
      <c r="O616" s="1222">
        <f t="shared" si="42"/>
        <v>36</v>
      </c>
      <c r="P616" s="1222">
        <f t="shared" si="43"/>
        <v>36</v>
      </c>
    </row>
  </sheetData>
  <sheetProtection algorithmName="SHA-512" hashValue="uTKqBtYWhTX4BBhs7LGfI0yxgoxkVDJUUnU4nEtuUEFaYJARl/ZUuX/yRPQsJv9WkX6rJS/L4Rz9dIewZejAEw==" saltValue="pT4gxC39TLXMvYSsPMooNQ==" spinCount="100000" sheet="1" objects="1" scenarios="1"/>
  <mergeCells count="4">
    <mergeCell ref="C1:D1"/>
    <mergeCell ref="K1:O1"/>
    <mergeCell ref="P1:Q1"/>
    <mergeCell ref="R1:R2"/>
  </mergeCells>
  <phoneticPr fontId="1"/>
  <dataValidations count="2">
    <dataValidation imeMode="hiragana" allowBlank="1" showInputMessage="1" showErrorMessage="1" sqref="B612:D616 B4:D409" xr:uid="{00000000-0002-0000-0000-000000000000}"/>
    <dataValidation imeMode="off" allowBlank="1" showInputMessage="1" showErrorMessage="1" sqref="V4:W601 E4:U409 E612:P616 X4:X409" xr:uid="{00000000-0002-0000-0000-000001000000}"/>
  </dataValidations>
  <pageMargins left="0.7" right="0.7" top="0.75" bottom="0.75" header="0.3" footer="0.3"/>
  <drawing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rgb="FF00B0F0"/>
    <pageSetUpPr fitToPage="1"/>
  </sheetPr>
  <dimension ref="A1:BS75"/>
  <sheetViews>
    <sheetView view="pageBreakPreview" topLeftCell="B1" zoomScaleNormal="100" zoomScaleSheetLayoutView="100" workbookViewId="0">
      <selection activeCell="B1" sqref="B1"/>
    </sheetView>
  </sheetViews>
  <sheetFormatPr defaultColWidth="9" defaultRowHeight="12" outlineLevelCol="1"/>
  <cols>
    <col min="1" max="1" width="9" style="615" hidden="1" customWidth="1" outlineLevel="1"/>
    <col min="2" max="2" width="5" style="615" bestFit="1" customWidth="1" collapsed="1"/>
    <col min="3" max="3" width="5" style="615" customWidth="1"/>
    <col min="4" max="35" width="5.625" style="615" customWidth="1"/>
    <col min="36" max="36" width="8.25" style="615" customWidth="1"/>
    <col min="37" max="37" width="50.625" style="615" customWidth="1"/>
    <col min="38" max="38" width="4.625" style="632" hidden="1" customWidth="1" outlineLevel="1"/>
    <col min="39" max="70" width="4.625" style="615" hidden="1" customWidth="1" outlineLevel="1"/>
    <col min="71" max="71" width="9" style="615" collapsed="1"/>
    <col min="72" max="16384" width="9" style="615"/>
  </cols>
  <sheetData>
    <row r="1" spans="1:70" s="613" customFormat="1" ht="15" customHeight="1">
      <c r="A1" s="608"/>
      <c r="B1" s="609" t="s">
        <v>1174</v>
      </c>
      <c r="C1" s="609"/>
      <c r="D1" s="610"/>
      <c r="E1" s="610"/>
      <c r="F1" s="590"/>
      <c r="G1" s="590"/>
      <c r="H1" s="590"/>
      <c r="I1" s="590"/>
      <c r="J1" s="590"/>
      <c r="K1" s="590"/>
      <c r="L1" s="590"/>
      <c r="M1" s="590"/>
      <c r="N1" s="590"/>
      <c r="O1" s="590"/>
      <c r="P1" s="590"/>
      <c r="Q1" s="590"/>
      <c r="R1" s="590"/>
      <c r="S1" s="590"/>
      <c r="T1" s="590"/>
      <c r="U1" s="590"/>
      <c r="V1" s="590"/>
      <c r="W1" s="590"/>
      <c r="X1" s="590"/>
      <c r="Y1" s="590"/>
      <c r="Z1" s="590"/>
      <c r="AA1" s="590"/>
      <c r="AB1" s="590"/>
      <c r="AC1" s="590"/>
      <c r="AD1" s="611"/>
      <c r="AE1" s="611"/>
      <c r="AF1" s="2360" t="str">
        <f>AL2&amp;"別紙5"&amp;AL3</f>
        <v>加-25_4月申-別紙5-認_Ver.4.02</v>
      </c>
      <c r="AG1" s="2360"/>
      <c r="AH1" s="2360"/>
      <c r="AI1" s="2360"/>
      <c r="AJ1" s="2360"/>
      <c r="AK1" s="611"/>
      <c r="AL1" s="264" t="s">
        <v>1163</v>
      </c>
      <c r="AM1" s="956" t="s">
        <v>84</v>
      </c>
      <c r="AN1" s="956" t="s">
        <v>84</v>
      </c>
      <c r="AO1" s="1108" t="s">
        <v>430</v>
      </c>
      <c r="AP1" s="612">
        <v>1</v>
      </c>
      <c r="AQ1" s="612">
        <v>2</v>
      </c>
      <c r="AR1" s="612">
        <v>3</v>
      </c>
      <c r="AS1" s="612">
        <v>4</v>
      </c>
      <c r="AT1" s="612">
        <v>5</v>
      </c>
      <c r="AU1" s="612">
        <v>6</v>
      </c>
      <c r="AV1" s="612">
        <v>7</v>
      </c>
      <c r="AW1" s="1109"/>
    </row>
    <row r="2" spans="1:70" ht="15" customHeight="1">
      <c r="A2" s="616"/>
      <c r="B2" s="968" t="s">
        <v>1175</v>
      </c>
      <c r="C2" s="968"/>
      <c r="D2" s="610"/>
      <c r="E2" s="610"/>
      <c r="F2" s="610"/>
      <c r="G2" s="610"/>
      <c r="H2" s="130"/>
      <c r="I2" s="130"/>
      <c r="J2" s="130"/>
      <c r="K2" s="130"/>
      <c r="L2" s="130"/>
      <c r="M2" s="130"/>
      <c r="N2" s="129"/>
      <c r="O2" s="129"/>
      <c r="P2" s="129"/>
      <c r="Q2" s="129"/>
      <c r="R2" s="129"/>
      <c r="S2" s="129"/>
      <c r="T2" s="129"/>
      <c r="U2" s="129"/>
      <c r="V2" s="129"/>
      <c r="W2" s="129"/>
      <c r="X2" s="129"/>
      <c r="Y2" s="129"/>
      <c r="Z2" s="129"/>
      <c r="AA2" s="129"/>
      <c r="AB2" s="224"/>
      <c r="AC2" s="224"/>
      <c r="AD2" s="617"/>
      <c r="AE2" s="224"/>
      <c r="AF2" s="224"/>
      <c r="AG2" s="224"/>
      <c r="AH2" s="224"/>
      <c r="AI2" s="224"/>
      <c r="AJ2" s="212"/>
      <c r="AK2" s="212"/>
      <c r="AL2" s="264" t="str">
        <f>【様式１】総括表・個票!$AJ$2</f>
        <v>加-25_4月申-</v>
      </c>
      <c r="AM2" s="817"/>
      <c r="AN2" s="817"/>
      <c r="AO2" s="614" t="s">
        <v>434</v>
      </c>
      <c r="AP2" s="98" t="s">
        <v>435</v>
      </c>
      <c r="AQ2" s="99" t="s">
        <v>436</v>
      </c>
      <c r="AR2" s="99" t="s">
        <v>437</v>
      </c>
      <c r="AS2" s="99" t="s">
        <v>438</v>
      </c>
      <c r="AT2" s="99" t="s">
        <v>439</v>
      </c>
      <c r="AU2" s="99" t="s">
        <v>440</v>
      </c>
      <c r="AV2" s="100" t="s">
        <v>441</v>
      </c>
      <c r="AW2" s="1110"/>
    </row>
    <row r="3" spans="1:70" ht="15" hidden="1" customHeight="1">
      <c r="A3" s="616"/>
      <c r="B3" s="209" t="s">
        <v>1176</v>
      </c>
      <c r="C3" s="209"/>
      <c r="D3" s="209"/>
      <c r="E3" s="209"/>
      <c r="F3" s="209"/>
      <c r="G3" s="209"/>
      <c r="H3" s="209"/>
      <c r="I3" s="209"/>
      <c r="J3" s="209"/>
      <c r="K3" s="209"/>
      <c r="L3" s="209"/>
      <c r="M3" s="130"/>
      <c r="N3" s="129"/>
      <c r="O3" s="129"/>
      <c r="P3" s="129"/>
      <c r="Q3" s="129"/>
      <c r="R3" s="129"/>
      <c r="S3" s="129"/>
      <c r="T3" s="129"/>
      <c r="U3" s="129"/>
      <c r="V3" s="129"/>
      <c r="W3" s="129"/>
      <c r="X3" s="129"/>
      <c r="Y3" s="129"/>
      <c r="Z3" s="129"/>
      <c r="AA3" s="129"/>
      <c r="AB3" s="224"/>
      <c r="AC3" s="224"/>
      <c r="AD3" s="617"/>
      <c r="AE3" s="224"/>
      <c r="AF3" s="224"/>
      <c r="AG3" s="224"/>
      <c r="AH3" s="224"/>
      <c r="AI3" s="224"/>
      <c r="AJ3" s="212"/>
      <c r="AK3" s="212"/>
      <c r="AL3" s="264" t="str">
        <f>【様式１】総括表・個票!$AJ$3</f>
        <v>-認_Ver.4.02</v>
      </c>
      <c r="AM3" s="817" t="s">
        <v>69</v>
      </c>
      <c r="AN3" s="818" t="s">
        <v>156</v>
      </c>
      <c r="AO3" s="819"/>
    </row>
    <row r="4" spans="1:70" ht="15" hidden="1" customHeight="1">
      <c r="A4" s="616"/>
      <c r="B4" s="209"/>
      <c r="C4" s="209" t="s">
        <v>1177</v>
      </c>
      <c r="D4" s="209"/>
      <c r="E4" s="209"/>
      <c r="F4" s="209"/>
      <c r="G4" s="209"/>
      <c r="H4" s="209"/>
      <c r="I4" s="209"/>
      <c r="J4" s="209"/>
      <c r="K4" s="209"/>
      <c r="L4" s="209"/>
      <c r="M4" s="130"/>
      <c r="N4" s="129"/>
      <c r="O4" s="129"/>
      <c r="P4" s="129"/>
      <c r="Q4" s="129"/>
      <c r="R4" s="129"/>
      <c r="S4" s="129"/>
      <c r="T4" s="129"/>
      <c r="U4" s="129"/>
      <c r="V4" s="129"/>
      <c r="W4" s="129"/>
      <c r="X4" s="129"/>
      <c r="Y4" s="129"/>
      <c r="Z4" s="129"/>
      <c r="AA4" s="129"/>
      <c r="AB4" s="224"/>
      <c r="AC4" s="224"/>
      <c r="AD4" s="617"/>
      <c r="AE4" s="224"/>
      <c r="AF4" s="224"/>
      <c r="AG4" s="224"/>
      <c r="AH4" s="224"/>
      <c r="AI4" s="224"/>
      <c r="AJ4" s="212"/>
      <c r="AK4" s="212"/>
      <c r="AL4" s="78"/>
      <c r="AM4" s="820"/>
      <c r="AN4" s="818" t="s">
        <v>88</v>
      </c>
    </row>
    <row r="5" spans="1:70" ht="15" customHeight="1">
      <c r="A5" s="616"/>
      <c r="B5" s="209" t="s">
        <v>902</v>
      </c>
      <c r="C5" s="209"/>
      <c r="D5" s="209"/>
      <c r="E5" s="209"/>
      <c r="F5" s="209"/>
      <c r="G5" s="209"/>
      <c r="H5" s="209"/>
      <c r="I5" s="209"/>
      <c r="J5" s="209"/>
      <c r="K5" s="209"/>
      <c r="L5" s="209"/>
      <c r="M5" s="130"/>
      <c r="N5" s="129"/>
      <c r="O5" s="129"/>
      <c r="P5" s="129"/>
      <c r="Q5" s="129"/>
      <c r="R5" s="129"/>
      <c r="S5" s="129"/>
      <c r="T5" s="129"/>
      <c r="U5" s="129"/>
      <c r="V5" s="129"/>
      <c r="W5" s="129"/>
      <c r="X5" s="129"/>
      <c r="Y5" s="129"/>
      <c r="Z5" s="129"/>
      <c r="AA5" s="129"/>
      <c r="AB5" s="224"/>
      <c r="AC5" s="224"/>
      <c r="AD5" s="617"/>
      <c r="AE5" s="224"/>
      <c r="AF5" s="224"/>
      <c r="AG5" s="224"/>
      <c r="AH5" s="224"/>
      <c r="AI5" s="224"/>
      <c r="AJ5" s="212"/>
      <c r="AK5" s="212"/>
      <c r="AL5" s="78"/>
      <c r="AM5" s="820"/>
      <c r="AN5" s="818" t="s">
        <v>274</v>
      </c>
    </row>
    <row r="6" spans="1:70" ht="15" customHeight="1">
      <c r="A6" s="616"/>
      <c r="B6" s="209" t="s">
        <v>1178</v>
      </c>
      <c r="C6" s="209"/>
      <c r="D6" s="209"/>
      <c r="E6" s="209"/>
      <c r="F6" s="209"/>
      <c r="G6" s="209"/>
      <c r="H6" s="209"/>
      <c r="I6" s="209"/>
      <c r="J6" s="209"/>
      <c r="K6" s="209"/>
      <c r="L6" s="209"/>
      <c r="M6" s="130"/>
      <c r="N6" s="129"/>
      <c r="O6" s="129"/>
      <c r="P6" s="129"/>
      <c r="Q6" s="129"/>
      <c r="R6" s="129"/>
      <c r="S6" s="129"/>
      <c r="T6" s="129"/>
      <c r="U6" s="129"/>
      <c r="V6" s="129"/>
      <c r="W6" s="129"/>
      <c r="X6" s="129"/>
      <c r="Y6" s="129"/>
      <c r="Z6" s="129"/>
      <c r="AA6" s="129"/>
      <c r="AB6" s="224"/>
      <c r="AC6" s="224"/>
      <c r="AD6" s="617"/>
      <c r="AE6" s="224"/>
      <c r="AF6" s="224"/>
      <c r="AG6" s="224"/>
      <c r="AH6" s="224"/>
      <c r="AI6" s="224"/>
      <c r="AJ6" s="212"/>
      <c r="AK6" s="212"/>
      <c r="AL6" s="615"/>
      <c r="AN6" s="612" t="s">
        <v>384</v>
      </c>
    </row>
    <row r="7" spans="1:70" ht="15" customHeight="1">
      <c r="A7" s="616"/>
      <c r="B7" s="209" t="s">
        <v>1179</v>
      </c>
      <c r="C7" s="209"/>
      <c r="D7" s="209"/>
      <c r="E7" s="209"/>
      <c r="F7" s="209"/>
      <c r="G7" s="209"/>
      <c r="H7" s="209"/>
      <c r="I7" s="209"/>
      <c r="J7" s="209"/>
      <c r="K7" s="209"/>
      <c r="L7" s="209"/>
      <c r="M7" s="130"/>
      <c r="N7" s="129"/>
      <c r="O7" s="129"/>
      <c r="P7" s="129"/>
      <c r="Q7" s="129"/>
      <c r="R7" s="129"/>
      <c r="S7" s="129"/>
      <c r="T7" s="129"/>
      <c r="U7" s="129"/>
      <c r="V7" s="129"/>
      <c r="W7" s="129"/>
      <c r="X7" s="129"/>
      <c r="Y7" s="129"/>
      <c r="Z7" s="129"/>
      <c r="AA7" s="129"/>
      <c r="AB7" s="224"/>
      <c r="AC7" s="224"/>
      <c r="AD7" s="617"/>
      <c r="AE7" s="224"/>
      <c r="AF7" s="224"/>
      <c r="AG7" s="224"/>
      <c r="AH7" s="224"/>
      <c r="AI7" s="224"/>
      <c r="AJ7" s="212"/>
      <c r="AK7" s="212"/>
      <c r="AL7" s="2375" t="s">
        <v>1180</v>
      </c>
      <c r="AM7" s="2375"/>
      <c r="AN7" s="2376">
        <f>【様式１】総括表・個票!AK2</f>
        <v>2025</v>
      </c>
      <c r="AO7" s="2376"/>
      <c r="AP7" s="2376"/>
      <c r="AQ7" s="2376"/>
    </row>
    <row r="8" spans="1:70" ht="15" customHeight="1" thickBot="1">
      <c r="A8" s="616"/>
      <c r="B8" s="2377" t="s">
        <v>903</v>
      </c>
      <c r="C8" s="2377"/>
      <c r="D8" s="2377"/>
      <c r="E8" s="2377"/>
      <c r="F8" s="618">
        <f>SUM(AJ11,AJ16,AJ21,AJ26,AJ31,AJ36,AJ41,AJ46,AJ51,AJ56,AJ61,AJ66)</f>
        <v>0</v>
      </c>
      <c r="G8" s="2378" t="s">
        <v>904</v>
      </c>
      <c r="H8" s="2378"/>
      <c r="I8" s="2378"/>
      <c r="J8" s="618">
        <f>SUM(AJ12,AJ17,AJ22,AJ27,AJ32,AJ37,AJ42,AJ47,AJ52,AJ57,AJ62,AJ67)</f>
        <v>0</v>
      </c>
      <c r="K8" s="2377" t="s">
        <v>1181</v>
      </c>
      <c r="L8" s="2377"/>
      <c r="M8" s="2377"/>
      <c r="N8" s="2377"/>
      <c r="O8" s="618">
        <f>SUM(AJ13,AJ18,AJ23,AJ28,AJ33,AJ38,AJ43,AJ48,AJ53,AJ58,AJ63,AJ68)</f>
        <v>0</v>
      </c>
      <c r="P8" s="129"/>
      <c r="Q8" s="129"/>
      <c r="R8" s="129"/>
      <c r="S8" s="129"/>
      <c r="T8" s="129"/>
      <c r="U8" s="129"/>
      <c r="V8" s="129"/>
      <c r="W8" s="129"/>
      <c r="X8" s="129"/>
      <c r="Y8" s="129"/>
      <c r="Z8" s="129"/>
      <c r="AA8" s="129"/>
      <c r="AB8" s="224"/>
      <c r="AC8" s="224"/>
      <c r="AD8" s="617"/>
      <c r="AE8" s="224"/>
      <c r="AF8" s="224"/>
      <c r="AG8" s="224"/>
      <c r="AH8" s="224"/>
      <c r="AI8" s="224"/>
      <c r="AJ8" s="212"/>
      <c r="AK8" s="212"/>
      <c r="AL8" s="615"/>
    </row>
    <row r="9" spans="1:70" ht="12" customHeight="1">
      <c r="A9" s="2361">
        <f>IF($AN$7=0,#REF!,$AN$7)+IF(AND($B9&gt;=1,$B9&lt;=3),1,0)</f>
        <v>2025</v>
      </c>
      <c r="B9" s="2362">
        <v>4</v>
      </c>
      <c r="C9" s="2365" t="s">
        <v>864</v>
      </c>
      <c r="D9" s="619" t="s">
        <v>643</v>
      </c>
      <c r="E9" s="620">
        <v>1</v>
      </c>
      <c r="F9" s="621">
        <v>2</v>
      </c>
      <c r="G9" s="621">
        <v>3</v>
      </c>
      <c r="H9" s="621">
        <v>4</v>
      </c>
      <c r="I9" s="621">
        <v>5</v>
      </c>
      <c r="J9" s="621">
        <v>6</v>
      </c>
      <c r="K9" s="621">
        <v>7</v>
      </c>
      <c r="L9" s="621">
        <v>8</v>
      </c>
      <c r="M9" s="621">
        <v>9</v>
      </c>
      <c r="N9" s="621">
        <v>10</v>
      </c>
      <c r="O9" s="621">
        <v>11</v>
      </c>
      <c r="P9" s="621">
        <v>12</v>
      </c>
      <c r="Q9" s="621">
        <v>13</v>
      </c>
      <c r="R9" s="621">
        <v>14</v>
      </c>
      <c r="S9" s="621">
        <v>15</v>
      </c>
      <c r="T9" s="621">
        <v>16</v>
      </c>
      <c r="U9" s="621">
        <v>17</v>
      </c>
      <c r="V9" s="621">
        <v>18</v>
      </c>
      <c r="W9" s="621">
        <v>19</v>
      </c>
      <c r="X9" s="621">
        <v>20</v>
      </c>
      <c r="Y9" s="621">
        <v>21</v>
      </c>
      <c r="Z9" s="621">
        <v>22</v>
      </c>
      <c r="AA9" s="621">
        <v>23</v>
      </c>
      <c r="AB9" s="621">
        <v>24</v>
      </c>
      <c r="AC9" s="621">
        <v>25</v>
      </c>
      <c r="AD9" s="621">
        <v>26</v>
      </c>
      <c r="AE9" s="621">
        <v>27</v>
      </c>
      <c r="AF9" s="621">
        <v>28</v>
      </c>
      <c r="AG9" s="621">
        <f>IF(MONTH(DATE($A9,B9,AF9+1))=B9,AF9+1,"")</f>
        <v>29</v>
      </c>
      <c r="AH9" s="621">
        <f>IF(B9&lt;&gt;2,IF(AG9&lt;&gt;"",AG9+1,""),"")</f>
        <v>30</v>
      </c>
      <c r="AI9" s="622" t="str">
        <f>IF(OR(B9=1,B9=3,B9=5,B9=7,B9=8,B9=10,B9=12),AH9+1,"")</f>
        <v/>
      </c>
      <c r="AJ9" s="2367" t="s">
        <v>22</v>
      </c>
      <c r="AK9" s="623"/>
      <c r="AL9" s="2369" t="s">
        <v>444</v>
      </c>
      <c r="AM9" s="2369"/>
      <c r="AN9" s="624">
        <v>1</v>
      </c>
      <c r="AO9" s="624">
        <v>2</v>
      </c>
      <c r="AP9" s="624">
        <v>3</v>
      </c>
      <c r="AQ9" s="624">
        <v>4</v>
      </c>
      <c r="AR9" s="624">
        <v>5</v>
      </c>
      <c r="AS9" s="624">
        <v>6</v>
      </c>
      <c r="AT9" s="624">
        <v>7</v>
      </c>
      <c r="AU9" s="624">
        <v>8</v>
      </c>
      <c r="AV9" s="624">
        <v>9</v>
      </c>
      <c r="AW9" s="624">
        <v>10</v>
      </c>
      <c r="AX9" s="624">
        <v>11</v>
      </c>
      <c r="AY9" s="624">
        <v>12</v>
      </c>
      <c r="AZ9" s="624">
        <v>13</v>
      </c>
      <c r="BA9" s="624">
        <v>14</v>
      </c>
      <c r="BB9" s="624">
        <v>15</v>
      </c>
      <c r="BC9" s="624">
        <v>16</v>
      </c>
      <c r="BD9" s="624">
        <v>17</v>
      </c>
      <c r="BE9" s="624">
        <v>18</v>
      </c>
      <c r="BF9" s="624">
        <v>19</v>
      </c>
      <c r="BG9" s="624">
        <v>20</v>
      </c>
      <c r="BH9" s="624">
        <v>21</v>
      </c>
      <c r="BI9" s="624">
        <v>22</v>
      </c>
      <c r="BJ9" s="624">
        <v>23</v>
      </c>
      <c r="BK9" s="624">
        <v>24</v>
      </c>
      <c r="BL9" s="624">
        <v>25</v>
      </c>
      <c r="BM9" s="624">
        <v>26</v>
      </c>
      <c r="BN9" s="624">
        <v>27</v>
      </c>
      <c r="BO9" s="624">
        <v>28</v>
      </c>
      <c r="BP9" s="624">
        <v>29</v>
      </c>
      <c r="BQ9" s="624">
        <v>30</v>
      </c>
      <c r="BR9" s="624">
        <v>31</v>
      </c>
    </row>
    <row r="10" spans="1:70" ht="12" customHeight="1">
      <c r="A10" s="2361"/>
      <c r="B10" s="2363"/>
      <c r="C10" s="2366"/>
      <c r="D10" s="625" t="s">
        <v>445</v>
      </c>
      <c r="E10" s="966" t="str">
        <f t="shared" ref="E10:AI10" si="0">IF(E9&lt;&gt;"",HLOOKUP(WEEKDAY(DATE($A9,$B9,E9)),$AP$1:$AV$2,2,FALSE),"")</f>
        <v>（火）</v>
      </c>
      <c r="F10" s="964" t="str">
        <f t="shared" si="0"/>
        <v>（水）</v>
      </c>
      <c r="G10" s="964" t="str">
        <f t="shared" si="0"/>
        <v>（木）</v>
      </c>
      <c r="H10" s="964" t="str">
        <f t="shared" si="0"/>
        <v>（金）</v>
      </c>
      <c r="I10" s="964" t="str">
        <f t="shared" si="0"/>
        <v>（土）</v>
      </c>
      <c r="J10" s="964" t="str">
        <f t="shared" si="0"/>
        <v>（日）</v>
      </c>
      <c r="K10" s="964" t="str">
        <f t="shared" si="0"/>
        <v>（月）</v>
      </c>
      <c r="L10" s="964" t="str">
        <f t="shared" si="0"/>
        <v>（火）</v>
      </c>
      <c r="M10" s="964" t="str">
        <f t="shared" si="0"/>
        <v>（水）</v>
      </c>
      <c r="N10" s="964" t="str">
        <f t="shared" si="0"/>
        <v>（木）</v>
      </c>
      <c r="O10" s="964" t="str">
        <f t="shared" si="0"/>
        <v>（金）</v>
      </c>
      <c r="P10" s="964" t="str">
        <f t="shared" si="0"/>
        <v>（土）</v>
      </c>
      <c r="Q10" s="964" t="str">
        <f t="shared" si="0"/>
        <v>（日）</v>
      </c>
      <c r="R10" s="964" t="str">
        <f t="shared" si="0"/>
        <v>（月）</v>
      </c>
      <c r="S10" s="964" t="str">
        <f t="shared" si="0"/>
        <v>（火）</v>
      </c>
      <c r="T10" s="964" t="str">
        <f t="shared" si="0"/>
        <v>（水）</v>
      </c>
      <c r="U10" s="964" t="str">
        <f t="shared" si="0"/>
        <v>（木）</v>
      </c>
      <c r="V10" s="964" t="str">
        <f t="shared" si="0"/>
        <v>（金）</v>
      </c>
      <c r="W10" s="964" t="str">
        <f t="shared" si="0"/>
        <v>（土）</v>
      </c>
      <c r="X10" s="964" t="str">
        <f t="shared" si="0"/>
        <v>（日）</v>
      </c>
      <c r="Y10" s="964" t="str">
        <f t="shared" si="0"/>
        <v>（月）</v>
      </c>
      <c r="Z10" s="964" t="str">
        <f t="shared" si="0"/>
        <v>（火）</v>
      </c>
      <c r="AA10" s="964" t="str">
        <f t="shared" si="0"/>
        <v>（水）</v>
      </c>
      <c r="AB10" s="964" t="str">
        <f t="shared" si="0"/>
        <v>（木）</v>
      </c>
      <c r="AC10" s="964" t="str">
        <f t="shared" si="0"/>
        <v>（金）</v>
      </c>
      <c r="AD10" s="964" t="str">
        <f t="shared" si="0"/>
        <v>（土）</v>
      </c>
      <c r="AE10" s="964" t="str">
        <f t="shared" si="0"/>
        <v>（日）</v>
      </c>
      <c r="AF10" s="964" t="str">
        <f t="shared" si="0"/>
        <v>（月）</v>
      </c>
      <c r="AG10" s="964" t="str">
        <f t="shared" si="0"/>
        <v>（火）</v>
      </c>
      <c r="AH10" s="964" t="str">
        <f t="shared" si="0"/>
        <v>（水）</v>
      </c>
      <c r="AI10" s="967" t="str">
        <f t="shared" si="0"/>
        <v/>
      </c>
      <c r="AJ10" s="2368"/>
      <c r="AK10" s="623"/>
      <c r="AL10" s="2369" t="s">
        <v>641</v>
      </c>
      <c r="AM10" s="2369"/>
      <c r="AN10" s="624" t="str">
        <f>IF(E9&lt;&gt;"",IF(OR(WEEKDAY(DATE($A9,$B9,E9),2)&gt;6,COUNTIF('休日情報(要更新)'!$A$5:$J$32,DATE($A9,$B9,E9)) &gt;=1),"○",IF(WEEKDAY(DATE($A9,$B9,E9),2)=6,"●","")),"×")</f>
        <v/>
      </c>
      <c r="AO10" s="624" t="str">
        <f>IF(F9&lt;&gt;"",IF(OR(WEEKDAY(DATE($A9,$B9,F9),2)&gt;6,COUNTIF('休日情報(要更新)'!$A$5:$J$32,DATE($A9,$B9,F9)) &gt;=1),"○",IF(WEEKDAY(DATE($A9,$B9,F9),2)=6,"●","")),"×")</f>
        <v/>
      </c>
      <c r="AP10" s="624" t="str">
        <f>IF(G9&lt;&gt;"",IF(OR(WEEKDAY(DATE($A9,$B9,G9),2)&gt;6,COUNTIF('休日情報(要更新)'!$A$5:$J$32,DATE($A9,$B9,G9)) &gt;=1),"○",IF(WEEKDAY(DATE($A9,$B9,G9),2)=6,"●","")),"×")</f>
        <v/>
      </c>
      <c r="AQ10" s="624" t="str">
        <f>IF(H9&lt;&gt;"",IF(OR(WEEKDAY(DATE($A9,$B9,H9),2)&gt;6,COUNTIF('休日情報(要更新)'!$A$5:$J$32,DATE($A9,$B9,H9)) &gt;=1),"○",IF(WEEKDAY(DATE($A9,$B9,H9),2)=6,"●","")),"×")</f>
        <v/>
      </c>
      <c r="AR10" s="624" t="str">
        <f>IF(I9&lt;&gt;"",IF(OR(WEEKDAY(DATE($A9,$B9,I9),2)&gt;6,COUNTIF('休日情報(要更新)'!$A$5:$J$32,DATE($A9,$B9,I9)) &gt;=1),"○",IF(WEEKDAY(DATE($A9,$B9,I9),2)=6,"●","")),"×")</f>
        <v>●</v>
      </c>
      <c r="AS10" s="624" t="str">
        <f>IF(J9&lt;&gt;"",IF(OR(WEEKDAY(DATE($A9,$B9,J9),2)&gt;6,COUNTIF('休日情報(要更新)'!$A$5:$J$32,DATE($A9,$B9,J9)) &gt;=1),"○",IF(WEEKDAY(DATE($A9,$B9,J9),2)=6,"●","")),"×")</f>
        <v>○</v>
      </c>
      <c r="AT10" s="624" t="str">
        <f>IF(K9&lt;&gt;"",IF(OR(WEEKDAY(DATE($A9,$B9,K9),2)&gt;6,COUNTIF('休日情報(要更新)'!$A$5:$J$32,DATE($A9,$B9,K9)) &gt;=1),"○",IF(WEEKDAY(DATE($A9,$B9,K9),2)=6,"●","")),"×")</f>
        <v/>
      </c>
      <c r="AU10" s="624" t="str">
        <f>IF(L9&lt;&gt;"",IF(OR(WEEKDAY(DATE($A9,$B9,L9),2)&gt;6,COUNTIF('休日情報(要更新)'!$A$5:$J$32,DATE($A9,$B9,L9)) &gt;=1),"○",IF(WEEKDAY(DATE($A9,$B9,L9),2)=6,"●","")),"×")</f>
        <v/>
      </c>
      <c r="AV10" s="624" t="str">
        <f>IF(M9&lt;&gt;"",IF(OR(WEEKDAY(DATE($A9,$B9,M9),2)&gt;6,COUNTIF('休日情報(要更新)'!$A$5:$J$32,DATE($A9,$B9,M9)) &gt;=1),"○",IF(WEEKDAY(DATE($A9,$B9,M9),2)=6,"●","")),"×")</f>
        <v/>
      </c>
      <c r="AW10" s="624" t="str">
        <f>IF(N9&lt;&gt;"",IF(OR(WEEKDAY(DATE($A9,$B9,N9),2)&gt;6,COUNTIF('休日情報(要更新)'!$A$5:$J$32,DATE($A9,$B9,N9)) &gt;=1),"○",IF(WEEKDAY(DATE($A9,$B9,N9),2)=6,"●","")),"×")</f>
        <v/>
      </c>
      <c r="AX10" s="624" t="str">
        <f>IF(O9&lt;&gt;"",IF(OR(WEEKDAY(DATE($A9,$B9,O9),2)&gt;6,COUNTIF('休日情報(要更新)'!$A$5:$J$32,DATE($A9,$B9,O9)) &gt;=1),"○",IF(WEEKDAY(DATE($A9,$B9,O9),2)=6,"●","")),"×")</f>
        <v/>
      </c>
      <c r="AY10" s="624" t="str">
        <f>IF(P9&lt;&gt;"",IF(OR(WEEKDAY(DATE($A9,$B9,P9),2)&gt;6,COUNTIF('休日情報(要更新)'!$A$5:$J$32,DATE($A9,$B9,P9)) &gt;=1),"○",IF(WEEKDAY(DATE($A9,$B9,P9),2)=6,"●","")),"×")</f>
        <v>●</v>
      </c>
      <c r="AZ10" s="624" t="str">
        <f>IF(Q9&lt;&gt;"",IF(OR(WEEKDAY(DATE($A9,$B9,Q9),2)&gt;6,COUNTIF('休日情報(要更新)'!$A$5:$J$32,DATE($A9,$B9,Q9)) &gt;=1),"○",IF(WEEKDAY(DATE($A9,$B9,Q9),2)=6,"●","")),"×")</f>
        <v>○</v>
      </c>
      <c r="BA10" s="624" t="str">
        <f>IF(R9&lt;&gt;"",IF(OR(WEEKDAY(DATE($A9,$B9,R9),2)&gt;6,COUNTIF('休日情報(要更新)'!$A$5:$J$32,DATE($A9,$B9,R9)) &gt;=1),"○",IF(WEEKDAY(DATE($A9,$B9,R9),2)=6,"●","")),"×")</f>
        <v/>
      </c>
      <c r="BB10" s="624" t="str">
        <f>IF(S9&lt;&gt;"",IF(OR(WEEKDAY(DATE($A9,$B9,S9),2)&gt;6,COUNTIF('休日情報(要更新)'!$A$5:$J$32,DATE($A9,$B9,S9)) &gt;=1),"○",IF(WEEKDAY(DATE($A9,$B9,S9),2)=6,"●","")),"×")</f>
        <v/>
      </c>
      <c r="BC10" s="624" t="str">
        <f>IF(T9&lt;&gt;"",IF(OR(WEEKDAY(DATE($A9,$B9,T9),2)&gt;6,COUNTIF('休日情報(要更新)'!$A$5:$J$32,DATE($A9,$B9,T9)) &gt;=1),"○",IF(WEEKDAY(DATE($A9,$B9,T9),2)=6,"●","")),"×")</f>
        <v/>
      </c>
      <c r="BD10" s="624" t="str">
        <f>IF(U9&lt;&gt;"",IF(OR(WEEKDAY(DATE($A9,$B9,U9),2)&gt;6,COUNTIF('休日情報(要更新)'!$A$5:$J$32,DATE($A9,$B9,U9)) &gt;=1),"○",IF(WEEKDAY(DATE($A9,$B9,U9),2)=6,"●","")),"×")</f>
        <v/>
      </c>
      <c r="BE10" s="624" t="str">
        <f>IF(V9&lt;&gt;"",IF(OR(WEEKDAY(DATE($A9,$B9,V9),2)&gt;6,COUNTIF('休日情報(要更新)'!$A$5:$J$32,DATE($A9,$B9,V9)) &gt;=1),"○",IF(WEEKDAY(DATE($A9,$B9,V9),2)=6,"●","")),"×")</f>
        <v/>
      </c>
      <c r="BF10" s="624" t="str">
        <f>IF(W9&lt;&gt;"",IF(OR(WEEKDAY(DATE($A9,$B9,W9),2)&gt;6,COUNTIF('休日情報(要更新)'!$A$5:$J$32,DATE($A9,$B9,W9)) &gt;=1),"○",IF(WEEKDAY(DATE($A9,$B9,W9),2)=6,"●","")),"×")</f>
        <v>●</v>
      </c>
      <c r="BG10" s="624" t="str">
        <f>IF(X9&lt;&gt;"",IF(OR(WEEKDAY(DATE($A9,$B9,X9),2)&gt;6,COUNTIF('休日情報(要更新)'!$A$5:$J$32,DATE($A9,$B9,X9)) &gt;=1),"○",IF(WEEKDAY(DATE($A9,$B9,X9),2)=6,"●","")),"×")</f>
        <v>○</v>
      </c>
      <c r="BH10" s="624" t="str">
        <f>IF(Y9&lt;&gt;"",IF(OR(WEEKDAY(DATE($A9,$B9,Y9),2)&gt;6,COUNTIF('休日情報(要更新)'!$A$5:$J$32,DATE($A9,$B9,Y9)) &gt;=1),"○",IF(WEEKDAY(DATE($A9,$B9,Y9),2)=6,"●","")),"×")</f>
        <v/>
      </c>
      <c r="BI10" s="624" t="str">
        <f>IF(Z9&lt;&gt;"",IF(OR(WEEKDAY(DATE($A9,$B9,Z9),2)&gt;6,COUNTIF('休日情報(要更新)'!$A$5:$J$32,DATE($A9,$B9,Z9)) &gt;=1),"○",IF(WEEKDAY(DATE($A9,$B9,Z9),2)=6,"●","")),"×")</f>
        <v/>
      </c>
      <c r="BJ10" s="624" t="str">
        <f>IF(AA9&lt;&gt;"",IF(OR(WEEKDAY(DATE($A9,$B9,AA9),2)&gt;6,COUNTIF('休日情報(要更新)'!$A$5:$J$32,DATE($A9,$B9,AA9)) &gt;=1),"○",IF(WEEKDAY(DATE($A9,$B9,AA9),2)=6,"●","")),"×")</f>
        <v/>
      </c>
      <c r="BK10" s="624" t="str">
        <f>IF(AB9&lt;&gt;"",IF(OR(WEEKDAY(DATE($A9,$B9,AB9),2)&gt;6,COUNTIF('休日情報(要更新)'!$A$5:$J$32,DATE($A9,$B9,AB9)) &gt;=1),"○",IF(WEEKDAY(DATE($A9,$B9,AB9),2)=6,"●","")),"×")</f>
        <v/>
      </c>
      <c r="BL10" s="624" t="str">
        <f>IF(AC9&lt;&gt;"",IF(OR(WEEKDAY(DATE($A9,$B9,AC9),2)&gt;6,COUNTIF('休日情報(要更新)'!$A$5:$J$32,DATE($A9,$B9,AC9)) &gt;=1),"○",IF(WEEKDAY(DATE($A9,$B9,AC9),2)=6,"●","")),"×")</f>
        <v/>
      </c>
      <c r="BM10" s="624" t="str">
        <f>IF(AD9&lt;&gt;"",IF(OR(WEEKDAY(DATE($A9,$B9,AD9),2)&gt;6,COUNTIF('休日情報(要更新)'!$A$5:$J$32,DATE($A9,$B9,AD9)) &gt;=1),"○",IF(WEEKDAY(DATE($A9,$B9,AD9),2)=6,"●","")),"×")</f>
        <v>●</v>
      </c>
      <c r="BN10" s="624" t="str">
        <f>IF(AE9&lt;&gt;"",IF(OR(WEEKDAY(DATE($A9,$B9,AE9),2)&gt;6,COUNTIF('休日情報(要更新)'!$A$5:$J$32,DATE($A9,$B9,AE9)) &gt;=1),"○",IF(WEEKDAY(DATE($A9,$B9,AE9),2)=6,"●","")),"×")</f>
        <v>○</v>
      </c>
      <c r="BO10" s="624" t="str">
        <f>IF(AF9&lt;&gt;"",IF(OR(WEEKDAY(DATE($A9,$B9,AF9),2)&gt;6,COUNTIF('休日情報(要更新)'!$A$5:$J$32,DATE($A9,$B9,AF9)) &gt;=1),"○",IF(WEEKDAY(DATE($A9,$B9,AF9),2)=6,"●","")),"×")</f>
        <v/>
      </c>
      <c r="BP10" s="624" t="str">
        <f>IF(AG9&lt;&gt;"",IF(OR(WEEKDAY(DATE($A9,$B9,AG9),2)&gt;6,COUNTIF('休日情報(要更新)'!$A$5:$J$32,DATE($A9,$B9,AG9)) &gt;=1),"○",IF(WEEKDAY(DATE($A9,$B9,AG9),2)=6,"●","")),"×")</f>
        <v>○</v>
      </c>
      <c r="BQ10" s="624" t="str">
        <f>IF(AH9&lt;&gt;"",IF(OR(WEEKDAY(DATE($A9,$B9,AH9),2)&gt;6,COUNTIF('休日情報(要更新)'!$A$5:$J$32,DATE($A9,$B9,AH9)) &gt;=1),"○",IF(WEEKDAY(DATE($A9,$B9,AH9),2)=6,"●","")),"×")</f>
        <v/>
      </c>
      <c r="BR10" s="624" t="str">
        <f>IF(AI9&lt;&gt;"",IF(OR(WEEKDAY(DATE($A9,$B9,AI9),2)&gt;6,COUNTIF('休日情報(要更新)'!$A$5:$J$32,DATE($A9,$B9,AI9)) &gt;=1),"○",IF(WEEKDAY(DATE($A9,$B9,AI9),2)=6,"●","")),"×")</f>
        <v>×</v>
      </c>
    </row>
    <row r="11" spans="1:70" ht="12" customHeight="1">
      <c r="A11" s="2361"/>
      <c r="B11" s="2363"/>
      <c r="C11" s="2370"/>
      <c r="D11" s="626" t="s">
        <v>653</v>
      </c>
      <c r="E11" s="627"/>
      <c r="F11" s="628"/>
      <c r="G11" s="628"/>
      <c r="H11" s="628"/>
      <c r="I11" s="628"/>
      <c r="J11" s="628"/>
      <c r="K11" s="628"/>
      <c r="L11" s="628"/>
      <c r="M11" s="628"/>
      <c r="N11" s="628"/>
      <c r="O11" s="628"/>
      <c r="P11" s="628"/>
      <c r="Q11" s="628"/>
      <c r="R11" s="628"/>
      <c r="S11" s="628"/>
      <c r="T11" s="628"/>
      <c r="U11" s="628"/>
      <c r="V11" s="628"/>
      <c r="W11" s="628"/>
      <c r="X11" s="628"/>
      <c r="Y11" s="628"/>
      <c r="Z11" s="628"/>
      <c r="AA11" s="628"/>
      <c r="AB11" s="628"/>
      <c r="AC11" s="628"/>
      <c r="AD11" s="628"/>
      <c r="AE11" s="628"/>
      <c r="AF11" s="628"/>
      <c r="AG11" s="628"/>
      <c r="AH11" s="628"/>
      <c r="AI11" s="629"/>
      <c r="AJ11" s="630">
        <f>COUNTIFS(AN10:BR10,"",E11:AI11,"○")</f>
        <v>0</v>
      </c>
      <c r="AK11" s="631"/>
    </row>
    <row r="12" spans="1:70" ht="12" customHeight="1">
      <c r="A12" s="2361"/>
      <c r="B12" s="2363"/>
      <c r="C12" s="2371"/>
      <c r="D12" s="821" t="s">
        <v>654</v>
      </c>
      <c r="E12" s="822"/>
      <c r="F12" s="823"/>
      <c r="G12" s="823"/>
      <c r="H12" s="823"/>
      <c r="I12" s="823"/>
      <c r="J12" s="823"/>
      <c r="K12" s="823"/>
      <c r="L12" s="823"/>
      <c r="M12" s="823"/>
      <c r="N12" s="823"/>
      <c r="O12" s="823"/>
      <c r="P12" s="823"/>
      <c r="Q12" s="823"/>
      <c r="R12" s="823"/>
      <c r="S12" s="823"/>
      <c r="T12" s="823"/>
      <c r="U12" s="823"/>
      <c r="V12" s="823"/>
      <c r="W12" s="823"/>
      <c r="X12" s="823"/>
      <c r="Y12" s="823"/>
      <c r="Z12" s="823"/>
      <c r="AA12" s="823"/>
      <c r="AB12" s="823"/>
      <c r="AC12" s="823"/>
      <c r="AD12" s="823"/>
      <c r="AE12" s="823"/>
      <c r="AF12" s="823"/>
      <c r="AG12" s="823"/>
      <c r="AH12" s="823"/>
      <c r="AI12" s="824"/>
      <c r="AJ12" s="825">
        <f>COUNTIFS(E11:AI11,"○",AN10:BR10,"",E12:AI12,"○")</f>
        <v>0</v>
      </c>
    </row>
    <row r="13" spans="1:70" ht="14.25" customHeight="1">
      <c r="A13" s="955"/>
      <c r="B13" s="2364"/>
      <c r="C13" s="2372"/>
      <c r="D13" s="633" t="s">
        <v>1182</v>
      </c>
      <c r="E13" s="634"/>
      <c r="F13" s="635"/>
      <c r="G13" s="635"/>
      <c r="H13" s="635"/>
      <c r="I13" s="635"/>
      <c r="J13" s="635"/>
      <c r="K13" s="635"/>
      <c r="L13" s="635"/>
      <c r="M13" s="635"/>
      <c r="N13" s="635"/>
      <c r="O13" s="635"/>
      <c r="P13" s="635"/>
      <c r="Q13" s="635"/>
      <c r="R13" s="635"/>
      <c r="S13" s="635"/>
      <c r="T13" s="635"/>
      <c r="U13" s="635"/>
      <c r="V13" s="635"/>
      <c r="W13" s="635"/>
      <c r="X13" s="635"/>
      <c r="Y13" s="635"/>
      <c r="Z13" s="635"/>
      <c r="AA13" s="635"/>
      <c r="AB13" s="635"/>
      <c r="AC13" s="635"/>
      <c r="AD13" s="635"/>
      <c r="AE13" s="635"/>
      <c r="AF13" s="635"/>
      <c r="AG13" s="635"/>
      <c r="AH13" s="635"/>
      <c r="AI13" s="636"/>
      <c r="AJ13" s="637">
        <f>COUNTIFS(E11:AI11,"○",AN10:BR10,"",E12:AI12,"○",E13:AI13,"○")</f>
        <v>0</v>
      </c>
    </row>
    <row r="14" spans="1:70" ht="12.75" customHeight="1">
      <c r="A14" s="2361">
        <f>IF($AN$7=0,#REF!,$AN$7)+IF(AND($B14&gt;=1,$B14&lt;=3),1,0)</f>
        <v>2025</v>
      </c>
      <c r="B14" s="2363">
        <v>5</v>
      </c>
      <c r="C14" s="2372" t="s">
        <v>864</v>
      </c>
      <c r="D14" s="826" t="s">
        <v>643</v>
      </c>
      <c r="E14" s="827">
        <v>1</v>
      </c>
      <c r="F14" s="703">
        <v>2</v>
      </c>
      <c r="G14" s="703">
        <v>3</v>
      </c>
      <c r="H14" s="703">
        <v>4</v>
      </c>
      <c r="I14" s="703">
        <v>5</v>
      </c>
      <c r="J14" s="703">
        <v>6</v>
      </c>
      <c r="K14" s="703">
        <v>7</v>
      </c>
      <c r="L14" s="703">
        <v>8</v>
      </c>
      <c r="M14" s="703">
        <v>9</v>
      </c>
      <c r="N14" s="703">
        <v>10</v>
      </c>
      <c r="O14" s="703">
        <v>11</v>
      </c>
      <c r="P14" s="703">
        <v>12</v>
      </c>
      <c r="Q14" s="703">
        <v>13</v>
      </c>
      <c r="R14" s="703">
        <v>14</v>
      </c>
      <c r="S14" s="703">
        <v>15</v>
      </c>
      <c r="T14" s="703">
        <v>16</v>
      </c>
      <c r="U14" s="703">
        <v>17</v>
      </c>
      <c r="V14" s="703">
        <v>18</v>
      </c>
      <c r="W14" s="703">
        <v>19</v>
      </c>
      <c r="X14" s="703">
        <v>20</v>
      </c>
      <c r="Y14" s="703">
        <v>21</v>
      </c>
      <c r="Z14" s="703">
        <v>22</v>
      </c>
      <c r="AA14" s="703">
        <v>23</v>
      </c>
      <c r="AB14" s="703">
        <v>24</v>
      </c>
      <c r="AC14" s="703">
        <v>25</v>
      </c>
      <c r="AD14" s="703">
        <v>26</v>
      </c>
      <c r="AE14" s="703">
        <v>27</v>
      </c>
      <c r="AF14" s="703">
        <v>28</v>
      </c>
      <c r="AG14" s="703">
        <f>IF(MONTH(DATE($A14,B14,AF14+1))=B14,AF14+1,"")</f>
        <v>29</v>
      </c>
      <c r="AH14" s="703">
        <f t="shared" ref="AH14" si="1">IF(B14&lt;&gt;2,IF(AG14&lt;&gt;"",AG14+1,""),"")</f>
        <v>30</v>
      </c>
      <c r="AI14" s="704">
        <f t="shared" ref="AI14" si="2">IF(OR(B14=1,B14=3,B14=5,B14=7,B14=8,B14=10,B14=12),AH14+1,"")</f>
        <v>31</v>
      </c>
      <c r="AJ14" s="2373" t="s">
        <v>22</v>
      </c>
      <c r="AK14" s="623"/>
      <c r="AL14" s="2369" t="s">
        <v>444</v>
      </c>
      <c r="AM14" s="2369"/>
      <c r="AN14" s="624">
        <v>1</v>
      </c>
      <c r="AO14" s="624">
        <v>2</v>
      </c>
      <c r="AP14" s="624">
        <v>3</v>
      </c>
      <c r="AQ14" s="624">
        <v>4</v>
      </c>
      <c r="AR14" s="624">
        <v>5</v>
      </c>
      <c r="AS14" s="624">
        <v>6</v>
      </c>
      <c r="AT14" s="624">
        <v>7</v>
      </c>
      <c r="AU14" s="624">
        <v>8</v>
      </c>
      <c r="AV14" s="624">
        <v>9</v>
      </c>
      <c r="AW14" s="624">
        <v>10</v>
      </c>
      <c r="AX14" s="624">
        <v>11</v>
      </c>
      <c r="AY14" s="624">
        <v>12</v>
      </c>
      <c r="AZ14" s="624">
        <v>13</v>
      </c>
      <c r="BA14" s="624">
        <v>14</v>
      </c>
      <c r="BB14" s="624">
        <v>15</v>
      </c>
      <c r="BC14" s="624">
        <v>16</v>
      </c>
      <c r="BD14" s="624">
        <v>17</v>
      </c>
      <c r="BE14" s="624">
        <v>18</v>
      </c>
      <c r="BF14" s="624">
        <v>19</v>
      </c>
      <c r="BG14" s="624">
        <v>20</v>
      </c>
      <c r="BH14" s="624">
        <v>21</v>
      </c>
      <c r="BI14" s="624">
        <v>22</v>
      </c>
      <c r="BJ14" s="624">
        <v>23</v>
      </c>
      <c r="BK14" s="624">
        <v>24</v>
      </c>
      <c r="BL14" s="624">
        <v>25</v>
      </c>
      <c r="BM14" s="624">
        <v>26</v>
      </c>
      <c r="BN14" s="624">
        <v>27</v>
      </c>
      <c r="BO14" s="624">
        <v>28</v>
      </c>
      <c r="BP14" s="624">
        <v>29</v>
      </c>
      <c r="BQ14" s="624">
        <v>30</v>
      </c>
      <c r="BR14" s="624">
        <v>31</v>
      </c>
    </row>
    <row r="15" spans="1:70" ht="12" customHeight="1">
      <c r="A15" s="2361"/>
      <c r="B15" s="2363"/>
      <c r="C15" s="2366"/>
      <c r="D15" s="625" t="s">
        <v>445</v>
      </c>
      <c r="E15" s="966" t="str">
        <f t="shared" ref="E15:AI15" si="3">IF(E14&lt;&gt;"",HLOOKUP(WEEKDAY(DATE($A14,$B14,E14)),$AP$1:$AV$2,2,FALSE),"")</f>
        <v>（木）</v>
      </c>
      <c r="F15" s="964" t="str">
        <f t="shared" si="3"/>
        <v>（金）</v>
      </c>
      <c r="G15" s="964" t="str">
        <f t="shared" si="3"/>
        <v>（土）</v>
      </c>
      <c r="H15" s="964" t="str">
        <f t="shared" si="3"/>
        <v>（日）</v>
      </c>
      <c r="I15" s="964" t="str">
        <f t="shared" si="3"/>
        <v>（月）</v>
      </c>
      <c r="J15" s="964" t="str">
        <f t="shared" si="3"/>
        <v>（火）</v>
      </c>
      <c r="K15" s="964" t="str">
        <f t="shared" si="3"/>
        <v>（水）</v>
      </c>
      <c r="L15" s="964" t="str">
        <f t="shared" si="3"/>
        <v>（木）</v>
      </c>
      <c r="M15" s="964" t="str">
        <f t="shared" si="3"/>
        <v>（金）</v>
      </c>
      <c r="N15" s="964" t="str">
        <f t="shared" si="3"/>
        <v>（土）</v>
      </c>
      <c r="O15" s="964" t="str">
        <f t="shared" si="3"/>
        <v>（日）</v>
      </c>
      <c r="P15" s="964" t="str">
        <f t="shared" si="3"/>
        <v>（月）</v>
      </c>
      <c r="Q15" s="964" t="str">
        <f t="shared" si="3"/>
        <v>（火）</v>
      </c>
      <c r="R15" s="964" t="str">
        <f t="shared" si="3"/>
        <v>（水）</v>
      </c>
      <c r="S15" s="964" t="str">
        <f t="shared" si="3"/>
        <v>（木）</v>
      </c>
      <c r="T15" s="964" t="str">
        <f t="shared" si="3"/>
        <v>（金）</v>
      </c>
      <c r="U15" s="964" t="str">
        <f t="shared" si="3"/>
        <v>（土）</v>
      </c>
      <c r="V15" s="964" t="str">
        <f t="shared" si="3"/>
        <v>（日）</v>
      </c>
      <c r="W15" s="964" t="str">
        <f t="shared" si="3"/>
        <v>（月）</v>
      </c>
      <c r="X15" s="964" t="str">
        <f t="shared" si="3"/>
        <v>（火）</v>
      </c>
      <c r="Y15" s="964" t="str">
        <f t="shared" si="3"/>
        <v>（水）</v>
      </c>
      <c r="Z15" s="964" t="str">
        <f t="shared" si="3"/>
        <v>（木）</v>
      </c>
      <c r="AA15" s="964" t="str">
        <f t="shared" si="3"/>
        <v>（金）</v>
      </c>
      <c r="AB15" s="964" t="str">
        <f t="shared" si="3"/>
        <v>（土）</v>
      </c>
      <c r="AC15" s="964" t="str">
        <f t="shared" si="3"/>
        <v>（日）</v>
      </c>
      <c r="AD15" s="964" t="str">
        <f t="shared" si="3"/>
        <v>（月）</v>
      </c>
      <c r="AE15" s="964" t="str">
        <f t="shared" si="3"/>
        <v>（火）</v>
      </c>
      <c r="AF15" s="964" t="str">
        <f t="shared" si="3"/>
        <v>（水）</v>
      </c>
      <c r="AG15" s="964" t="str">
        <f t="shared" si="3"/>
        <v>（木）</v>
      </c>
      <c r="AH15" s="964" t="str">
        <f t="shared" si="3"/>
        <v>（金）</v>
      </c>
      <c r="AI15" s="967" t="str">
        <f t="shared" si="3"/>
        <v>（土）</v>
      </c>
      <c r="AJ15" s="2368"/>
      <c r="AK15" s="623"/>
      <c r="AL15" s="2369" t="s">
        <v>641</v>
      </c>
      <c r="AM15" s="2369"/>
      <c r="AN15" s="624" t="str">
        <f>IF(E14&lt;&gt;"",IF(OR(WEEKDAY(DATE($A14,$B14,E14),2)&gt;6,COUNTIF('休日情報(要更新)'!$A$5:$J$32,DATE($A14,$B14,E14)) &gt;=1),"○",IF(WEEKDAY(DATE($A14,$B14,E14),2)=6,"●","")),"×")</f>
        <v/>
      </c>
      <c r="AO15" s="624" t="str">
        <f>IF(F14&lt;&gt;"",IF(OR(WEEKDAY(DATE($A14,$B14,F14),2)&gt;6,COUNTIF('休日情報(要更新)'!$A$5:$J$32,DATE($A14,$B14,F14)) &gt;=1),"○",IF(WEEKDAY(DATE($A14,$B14,F14),2)=6,"●","")),"×")</f>
        <v/>
      </c>
      <c r="AP15" s="624" t="str">
        <f>IF(G14&lt;&gt;"",IF(OR(WEEKDAY(DATE($A14,$B14,G14),2)&gt;6,COUNTIF('休日情報(要更新)'!$A$5:$J$32,DATE($A14,$B14,G14)) &gt;=1),"○",IF(WEEKDAY(DATE($A14,$B14,G14),2)=6,"●","")),"×")</f>
        <v>○</v>
      </c>
      <c r="AQ15" s="624" t="str">
        <f>IF(H14&lt;&gt;"",IF(OR(WEEKDAY(DATE($A14,$B14,H14),2)&gt;6,COUNTIF('休日情報(要更新)'!$A$5:$J$32,DATE($A14,$B14,H14)) &gt;=1),"○",IF(WEEKDAY(DATE($A14,$B14,H14),2)=6,"●","")),"×")</f>
        <v>○</v>
      </c>
      <c r="AR15" s="624" t="str">
        <f>IF(I14&lt;&gt;"",IF(OR(WEEKDAY(DATE($A14,$B14,I14),2)&gt;6,COUNTIF('休日情報(要更新)'!$A$5:$J$32,DATE($A14,$B14,I14)) &gt;=1),"○",IF(WEEKDAY(DATE($A14,$B14,I14),2)=6,"●","")),"×")</f>
        <v>○</v>
      </c>
      <c r="AS15" s="624" t="str">
        <f>IF(J14&lt;&gt;"",IF(OR(WEEKDAY(DATE($A14,$B14,J14),2)&gt;6,COUNTIF('休日情報(要更新)'!$A$5:$J$32,DATE($A14,$B14,J14)) &gt;=1),"○",IF(WEEKDAY(DATE($A14,$B14,J14),2)=6,"●","")),"×")</f>
        <v>○</v>
      </c>
      <c r="AT15" s="624" t="str">
        <f>IF(K14&lt;&gt;"",IF(OR(WEEKDAY(DATE($A14,$B14,K14),2)&gt;6,COUNTIF('休日情報(要更新)'!$A$5:$J$32,DATE($A14,$B14,K14)) &gt;=1),"○",IF(WEEKDAY(DATE($A14,$B14,K14),2)=6,"●","")),"×")</f>
        <v/>
      </c>
      <c r="AU15" s="624" t="str">
        <f>IF(L14&lt;&gt;"",IF(OR(WEEKDAY(DATE($A14,$B14,L14),2)&gt;6,COUNTIF('休日情報(要更新)'!$A$5:$J$32,DATE($A14,$B14,L14)) &gt;=1),"○",IF(WEEKDAY(DATE($A14,$B14,L14),2)=6,"●","")),"×")</f>
        <v/>
      </c>
      <c r="AV15" s="624" t="str">
        <f>IF(M14&lt;&gt;"",IF(OR(WEEKDAY(DATE($A14,$B14,M14),2)&gt;6,COUNTIF('休日情報(要更新)'!$A$5:$J$32,DATE($A14,$B14,M14)) &gt;=1),"○",IF(WEEKDAY(DATE($A14,$B14,M14),2)=6,"●","")),"×")</f>
        <v/>
      </c>
      <c r="AW15" s="624" t="str">
        <f>IF(N14&lt;&gt;"",IF(OR(WEEKDAY(DATE($A14,$B14,N14),2)&gt;6,COUNTIF('休日情報(要更新)'!$A$5:$J$32,DATE($A14,$B14,N14)) &gt;=1),"○",IF(WEEKDAY(DATE($A14,$B14,N14),2)=6,"●","")),"×")</f>
        <v>●</v>
      </c>
      <c r="AX15" s="624" t="str">
        <f>IF(O14&lt;&gt;"",IF(OR(WEEKDAY(DATE($A14,$B14,O14),2)&gt;6,COUNTIF('休日情報(要更新)'!$A$5:$J$32,DATE($A14,$B14,O14)) &gt;=1),"○",IF(WEEKDAY(DATE($A14,$B14,O14),2)=6,"●","")),"×")</f>
        <v>○</v>
      </c>
      <c r="AY15" s="624" t="str">
        <f>IF(P14&lt;&gt;"",IF(OR(WEEKDAY(DATE($A14,$B14,P14),2)&gt;6,COUNTIF('休日情報(要更新)'!$A$5:$J$32,DATE($A14,$B14,P14)) &gt;=1),"○",IF(WEEKDAY(DATE($A14,$B14,P14),2)=6,"●","")),"×")</f>
        <v/>
      </c>
      <c r="AZ15" s="624" t="str">
        <f>IF(Q14&lt;&gt;"",IF(OR(WEEKDAY(DATE($A14,$B14,Q14),2)&gt;6,COUNTIF('休日情報(要更新)'!$A$5:$J$32,DATE($A14,$B14,Q14)) &gt;=1),"○",IF(WEEKDAY(DATE($A14,$B14,Q14),2)=6,"●","")),"×")</f>
        <v/>
      </c>
      <c r="BA15" s="624" t="str">
        <f>IF(R14&lt;&gt;"",IF(OR(WEEKDAY(DATE($A14,$B14,R14),2)&gt;6,COUNTIF('休日情報(要更新)'!$A$5:$J$32,DATE($A14,$B14,R14)) &gt;=1),"○",IF(WEEKDAY(DATE($A14,$B14,R14),2)=6,"●","")),"×")</f>
        <v/>
      </c>
      <c r="BB15" s="624" t="str">
        <f>IF(S14&lt;&gt;"",IF(OR(WEEKDAY(DATE($A14,$B14,S14),2)&gt;6,COUNTIF('休日情報(要更新)'!$A$5:$J$32,DATE($A14,$B14,S14)) &gt;=1),"○",IF(WEEKDAY(DATE($A14,$B14,S14),2)=6,"●","")),"×")</f>
        <v/>
      </c>
      <c r="BC15" s="624" t="str">
        <f>IF(T14&lt;&gt;"",IF(OR(WEEKDAY(DATE($A14,$B14,T14),2)&gt;6,COUNTIF('休日情報(要更新)'!$A$5:$J$32,DATE($A14,$B14,T14)) &gt;=1),"○",IF(WEEKDAY(DATE($A14,$B14,T14),2)=6,"●","")),"×")</f>
        <v/>
      </c>
      <c r="BD15" s="624" t="str">
        <f>IF(U14&lt;&gt;"",IF(OR(WEEKDAY(DATE($A14,$B14,U14),2)&gt;6,COUNTIF('休日情報(要更新)'!$A$5:$J$32,DATE($A14,$B14,U14)) &gt;=1),"○",IF(WEEKDAY(DATE($A14,$B14,U14),2)=6,"●","")),"×")</f>
        <v>●</v>
      </c>
      <c r="BE15" s="624" t="str">
        <f>IF(V14&lt;&gt;"",IF(OR(WEEKDAY(DATE($A14,$B14,V14),2)&gt;6,COUNTIF('休日情報(要更新)'!$A$5:$J$32,DATE($A14,$B14,V14)) &gt;=1),"○",IF(WEEKDAY(DATE($A14,$B14,V14),2)=6,"●","")),"×")</f>
        <v>○</v>
      </c>
      <c r="BF15" s="624" t="str">
        <f>IF(W14&lt;&gt;"",IF(OR(WEEKDAY(DATE($A14,$B14,W14),2)&gt;6,COUNTIF('休日情報(要更新)'!$A$5:$J$32,DATE($A14,$B14,W14)) &gt;=1),"○",IF(WEEKDAY(DATE($A14,$B14,W14),2)=6,"●","")),"×")</f>
        <v/>
      </c>
      <c r="BG15" s="624" t="str">
        <f>IF(X14&lt;&gt;"",IF(OR(WEEKDAY(DATE($A14,$B14,X14),2)&gt;6,COUNTIF('休日情報(要更新)'!$A$5:$J$32,DATE($A14,$B14,X14)) &gt;=1),"○",IF(WEEKDAY(DATE($A14,$B14,X14),2)=6,"●","")),"×")</f>
        <v/>
      </c>
      <c r="BH15" s="624" t="str">
        <f>IF(Y14&lt;&gt;"",IF(OR(WEEKDAY(DATE($A14,$B14,Y14),2)&gt;6,COUNTIF('休日情報(要更新)'!$A$5:$J$32,DATE($A14,$B14,Y14)) &gt;=1),"○",IF(WEEKDAY(DATE($A14,$B14,Y14),2)=6,"●","")),"×")</f>
        <v/>
      </c>
      <c r="BI15" s="624" t="str">
        <f>IF(Z14&lt;&gt;"",IF(OR(WEEKDAY(DATE($A14,$B14,Z14),2)&gt;6,COUNTIF('休日情報(要更新)'!$A$5:$J$32,DATE($A14,$B14,Z14)) &gt;=1),"○",IF(WEEKDAY(DATE($A14,$B14,Z14),2)=6,"●","")),"×")</f>
        <v/>
      </c>
      <c r="BJ15" s="624" t="str">
        <f>IF(AA14&lt;&gt;"",IF(OR(WEEKDAY(DATE($A14,$B14,AA14),2)&gt;6,COUNTIF('休日情報(要更新)'!$A$5:$J$32,DATE($A14,$B14,AA14)) &gt;=1),"○",IF(WEEKDAY(DATE($A14,$B14,AA14),2)=6,"●","")),"×")</f>
        <v/>
      </c>
      <c r="BK15" s="624" t="str">
        <f>IF(AB14&lt;&gt;"",IF(OR(WEEKDAY(DATE($A14,$B14,AB14),2)&gt;6,COUNTIF('休日情報(要更新)'!$A$5:$J$32,DATE($A14,$B14,AB14)) &gt;=1),"○",IF(WEEKDAY(DATE($A14,$B14,AB14),2)=6,"●","")),"×")</f>
        <v>●</v>
      </c>
      <c r="BL15" s="624" t="str">
        <f>IF(AC14&lt;&gt;"",IF(OR(WEEKDAY(DATE($A14,$B14,AC14),2)&gt;6,COUNTIF('休日情報(要更新)'!$A$5:$J$32,DATE($A14,$B14,AC14)) &gt;=1),"○",IF(WEEKDAY(DATE($A14,$B14,AC14),2)=6,"●","")),"×")</f>
        <v>○</v>
      </c>
      <c r="BM15" s="624" t="str">
        <f>IF(AD14&lt;&gt;"",IF(OR(WEEKDAY(DATE($A14,$B14,AD14),2)&gt;6,COUNTIF('休日情報(要更新)'!$A$5:$J$32,DATE($A14,$B14,AD14)) &gt;=1),"○",IF(WEEKDAY(DATE($A14,$B14,AD14),2)=6,"●","")),"×")</f>
        <v/>
      </c>
      <c r="BN15" s="624" t="str">
        <f>IF(AE14&lt;&gt;"",IF(OR(WEEKDAY(DATE($A14,$B14,AE14),2)&gt;6,COUNTIF('休日情報(要更新)'!$A$5:$J$32,DATE($A14,$B14,AE14)) &gt;=1),"○",IF(WEEKDAY(DATE($A14,$B14,AE14),2)=6,"●","")),"×")</f>
        <v/>
      </c>
      <c r="BO15" s="624" t="str">
        <f>IF(AF14&lt;&gt;"",IF(OR(WEEKDAY(DATE($A14,$B14,AF14),2)&gt;6,COUNTIF('休日情報(要更新)'!$A$5:$J$32,DATE($A14,$B14,AF14)) &gt;=1),"○",IF(WEEKDAY(DATE($A14,$B14,AF14),2)=6,"●","")),"×")</f>
        <v/>
      </c>
      <c r="BP15" s="624" t="str">
        <f>IF(AG14&lt;&gt;"",IF(OR(WEEKDAY(DATE($A14,$B14,AG14),2)&gt;6,COUNTIF('休日情報(要更新)'!$A$5:$J$32,DATE($A14,$B14,AG14)) &gt;=1),"○",IF(WEEKDAY(DATE($A14,$B14,AG14),2)=6,"●","")),"×")</f>
        <v/>
      </c>
      <c r="BQ15" s="624" t="str">
        <f>IF(AH14&lt;&gt;"",IF(OR(WEEKDAY(DATE($A14,$B14,AH14),2)&gt;6,COUNTIF('休日情報(要更新)'!$A$5:$J$32,DATE($A14,$B14,AH14)) &gt;=1),"○",IF(WEEKDAY(DATE($A14,$B14,AH14),2)=6,"●","")),"×")</f>
        <v/>
      </c>
      <c r="BR15" s="624" t="str">
        <f>IF(AI14&lt;&gt;"",IF(OR(WEEKDAY(DATE($A14,$B14,AI14),2)&gt;6,COUNTIF('休日情報(要更新)'!$A$5:$J$32,DATE($A14,$B14,AI14)) &gt;=1),"○",IF(WEEKDAY(DATE($A14,$B14,AI14),2)=6,"●","")),"×")</f>
        <v>●</v>
      </c>
    </row>
    <row r="16" spans="1:70" ht="12" customHeight="1">
      <c r="A16" s="2361"/>
      <c r="B16" s="2363"/>
      <c r="C16" s="2370"/>
      <c r="D16" s="626" t="s">
        <v>653</v>
      </c>
      <c r="E16" s="627"/>
      <c r="F16" s="628"/>
      <c r="G16" s="628"/>
      <c r="H16" s="628"/>
      <c r="I16" s="628"/>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9"/>
      <c r="AJ16" s="630">
        <f>COUNTIFS(AN15:BR15,"",E16:AI16,"○")</f>
        <v>0</v>
      </c>
      <c r="AK16" s="631"/>
    </row>
    <row r="17" spans="1:70" ht="12.75" customHeight="1">
      <c r="A17" s="2361"/>
      <c r="B17" s="2363"/>
      <c r="C17" s="2371"/>
      <c r="D17" s="821" t="s">
        <v>654</v>
      </c>
      <c r="E17" s="822"/>
      <c r="F17" s="823"/>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c r="AE17" s="823"/>
      <c r="AF17" s="823"/>
      <c r="AG17" s="823"/>
      <c r="AH17" s="823"/>
      <c r="AI17" s="824"/>
      <c r="AJ17" s="825">
        <f>COUNTIFS(E16:AI16,"○",AN15:BR15,"",E17:AI17,"○")</f>
        <v>0</v>
      </c>
    </row>
    <row r="18" spans="1:70" ht="12.75" customHeight="1">
      <c r="A18" s="955"/>
      <c r="B18" s="2364"/>
      <c r="C18" s="2372"/>
      <c r="D18" s="633" t="s">
        <v>1182</v>
      </c>
      <c r="E18" s="634"/>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635"/>
      <c r="AD18" s="635"/>
      <c r="AE18" s="635"/>
      <c r="AF18" s="635"/>
      <c r="AG18" s="635"/>
      <c r="AH18" s="635"/>
      <c r="AI18" s="636"/>
      <c r="AJ18" s="637">
        <f>COUNTIFS(E16:AI16,"○",AN15:BR15,"",E17:AI17,"○",E18:AI18,"○")</f>
        <v>0</v>
      </c>
    </row>
    <row r="19" spans="1:70" ht="12.75" customHeight="1">
      <c r="A19" s="2361">
        <f>IF($AN$7=0,#REF!,$AN$7)+IF(AND($B19&gt;=1,$B19&lt;=3),1,0)</f>
        <v>2025</v>
      </c>
      <c r="B19" s="2374">
        <v>6</v>
      </c>
      <c r="C19" s="2372" t="s">
        <v>864</v>
      </c>
      <c r="D19" s="826" t="s">
        <v>643</v>
      </c>
      <c r="E19" s="827">
        <v>1</v>
      </c>
      <c r="F19" s="703">
        <v>2</v>
      </c>
      <c r="G19" s="703">
        <v>3</v>
      </c>
      <c r="H19" s="703">
        <v>4</v>
      </c>
      <c r="I19" s="703">
        <v>5</v>
      </c>
      <c r="J19" s="703">
        <v>6</v>
      </c>
      <c r="K19" s="703">
        <v>7</v>
      </c>
      <c r="L19" s="703">
        <v>8</v>
      </c>
      <c r="M19" s="703">
        <v>9</v>
      </c>
      <c r="N19" s="703">
        <v>10</v>
      </c>
      <c r="O19" s="703">
        <v>11</v>
      </c>
      <c r="P19" s="703">
        <v>12</v>
      </c>
      <c r="Q19" s="703">
        <v>13</v>
      </c>
      <c r="R19" s="703">
        <v>14</v>
      </c>
      <c r="S19" s="703">
        <v>15</v>
      </c>
      <c r="T19" s="703">
        <v>16</v>
      </c>
      <c r="U19" s="703">
        <v>17</v>
      </c>
      <c r="V19" s="703">
        <v>18</v>
      </c>
      <c r="W19" s="703">
        <v>19</v>
      </c>
      <c r="X19" s="703">
        <v>20</v>
      </c>
      <c r="Y19" s="703">
        <v>21</v>
      </c>
      <c r="Z19" s="703">
        <v>22</v>
      </c>
      <c r="AA19" s="703">
        <v>23</v>
      </c>
      <c r="AB19" s="703">
        <v>24</v>
      </c>
      <c r="AC19" s="703">
        <v>25</v>
      </c>
      <c r="AD19" s="703">
        <v>26</v>
      </c>
      <c r="AE19" s="703">
        <v>27</v>
      </c>
      <c r="AF19" s="703">
        <v>28</v>
      </c>
      <c r="AG19" s="703">
        <f>IF(MONTH(DATE($A19,B19,AF19+1))=B19,AF19+1,"")</f>
        <v>29</v>
      </c>
      <c r="AH19" s="703">
        <f t="shared" ref="AH19" si="4">IF(B19&lt;&gt;2,IF(AG19&lt;&gt;"",AG19+1,""),"")</f>
        <v>30</v>
      </c>
      <c r="AI19" s="704" t="str">
        <f t="shared" ref="AI19" si="5">IF(OR(B19=1,B19=3,B19=5,B19=7,B19=8,B19=10,B19=12),AH19+1,"")</f>
        <v/>
      </c>
      <c r="AJ19" s="2373" t="s">
        <v>22</v>
      </c>
      <c r="AK19" s="623"/>
      <c r="AL19" s="2369" t="s">
        <v>444</v>
      </c>
      <c r="AM19" s="2369"/>
      <c r="AN19" s="624">
        <v>1</v>
      </c>
      <c r="AO19" s="624">
        <v>2</v>
      </c>
      <c r="AP19" s="624">
        <v>3</v>
      </c>
      <c r="AQ19" s="624">
        <v>4</v>
      </c>
      <c r="AR19" s="624">
        <v>5</v>
      </c>
      <c r="AS19" s="624">
        <v>6</v>
      </c>
      <c r="AT19" s="624">
        <v>7</v>
      </c>
      <c r="AU19" s="624">
        <v>8</v>
      </c>
      <c r="AV19" s="624">
        <v>9</v>
      </c>
      <c r="AW19" s="624">
        <v>10</v>
      </c>
      <c r="AX19" s="624">
        <v>11</v>
      </c>
      <c r="AY19" s="624">
        <v>12</v>
      </c>
      <c r="AZ19" s="624">
        <v>13</v>
      </c>
      <c r="BA19" s="624">
        <v>14</v>
      </c>
      <c r="BB19" s="624">
        <v>15</v>
      </c>
      <c r="BC19" s="624">
        <v>16</v>
      </c>
      <c r="BD19" s="624">
        <v>17</v>
      </c>
      <c r="BE19" s="624">
        <v>18</v>
      </c>
      <c r="BF19" s="624">
        <v>19</v>
      </c>
      <c r="BG19" s="624">
        <v>20</v>
      </c>
      <c r="BH19" s="624">
        <v>21</v>
      </c>
      <c r="BI19" s="624">
        <v>22</v>
      </c>
      <c r="BJ19" s="624">
        <v>23</v>
      </c>
      <c r="BK19" s="624">
        <v>24</v>
      </c>
      <c r="BL19" s="624">
        <v>25</v>
      </c>
      <c r="BM19" s="624">
        <v>26</v>
      </c>
      <c r="BN19" s="624">
        <v>27</v>
      </c>
      <c r="BO19" s="624">
        <v>28</v>
      </c>
      <c r="BP19" s="624">
        <v>29</v>
      </c>
      <c r="BQ19" s="624">
        <v>30</v>
      </c>
      <c r="BR19" s="624">
        <v>31</v>
      </c>
    </row>
    <row r="20" spans="1:70" ht="12" customHeight="1">
      <c r="A20" s="2361"/>
      <c r="B20" s="2363"/>
      <c r="C20" s="2366"/>
      <c r="D20" s="625" t="s">
        <v>445</v>
      </c>
      <c r="E20" s="966" t="str">
        <f t="shared" ref="E20:AI20" si="6">IF(E19&lt;&gt;"",HLOOKUP(WEEKDAY(DATE($A19,$B19,E19)),$AP$1:$AV$2,2,FALSE),"")</f>
        <v>（日）</v>
      </c>
      <c r="F20" s="964" t="str">
        <f t="shared" si="6"/>
        <v>（月）</v>
      </c>
      <c r="G20" s="964" t="str">
        <f t="shared" si="6"/>
        <v>（火）</v>
      </c>
      <c r="H20" s="964" t="str">
        <f t="shared" si="6"/>
        <v>（水）</v>
      </c>
      <c r="I20" s="964" t="str">
        <f t="shared" si="6"/>
        <v>（木）</v>
      </c>
      <c r="J20" s="964" t="str">
        <f t="shared" si="6"/>
        <v>（金）</v>
      </c>
      <c r="K20" s="964" t="str">
        <f t="shared" si="6"/>
        <v>（土）</v>
      </c>
      <c r="L20" s="964" t="str">
        <f t="shared" si="6"/>
        <v>（日）</v>
      </c>
      <c r="M20" s="964" t="str">
        <f t="shared" si="6"/>
        <v>（月）</v>
      </c>
      <c r="N20" s="964" t="str">
        <f t="shared" si="6"/>
        <v>（火）</v>
      </c>
      <c r="O20" s="964" t="str">
        <f t="shared" si="6"/>
        <v>（水）</v>
      </c>
      <c r="P20" s="964" t="str">
        <f t="shared" si="6"/>
        <v>（木）</v>
      </c>
      <c r="Q20" s="964" t="str">
        <f t="shared" si="6"/>
        <v>（金）</v>
      </c>
      <c r="R20" s="964" t="str">
        <f t="shared" si="6"/>
        <v>（土）</v>
      </c>
      <c r="S20" s="964" t="str">
        <f t="shared" si="6"/>
        <v>（日）</v>
      </c>
      <c r="T20" s="964" t="str">
        <f t="shared" si="6"/>
        <v>（月）</v>
      </c>
      <c r="U20" s="964" t="str">
        <f t="shared" si="6"/>
        <v>（火）</v>
      </c>
      <c r="V20" s="964" t="str">
        <f t="shared" si="6"/>
        <v>（水）</v>
      </c>
      <c r="W20" s="964" t="str">
        <f t="shared" si="6"/>
        <v>（木）</v>
      </c>
      <c r="X20" s="964" t="str">
        <f t="shared" si="6"/>
        <v>（金）</v>
      </c>
      <c r="Y20" s="964" t="str">
        <f t="shared" si="6"/>
        <v>（土）</v>
      </c>
      <c r="Z20" s="964" t="str">
        <f t="shared" si="6"/>
        <v>（日）</v>
      </c>
      <c r="AA20" s="964" t="str">
        <f t="shared" si="6"/>
        <v>（月）</v>
      </c>
      <c r="AB20" s="964" t="str">
        <f t="shared" si="6"/>
        <v>（火）</v>
      </c>
      <c r="AC20" s="964" t="str">
        <f t="shared" si="6"/>
        <v>（水）</v>
      </c>
      <c r="AD20" s="964" t="str">
        <f t="shared" si="6"/>
        <v>（木）</v>
      </c>
      <c r="AE20" s="964" t="str">
        <f t="shared" si="6"/>
        <v>（金）</v>
      </c>
      <c r="AF20" s="964" t="str">
        <f t="shared" si="6"/>
        <v>（土）</v>
      </c>
      <c r="AG20" s="964" t="str">
        <f t="shared" si="6"/>
        <v>（日）</v>
      </c>
      <c r="AH20" s="964" t="str">
        <f t="shared" si="6"/>
        <v>（月）</v>
      </c>
      <c r="AI20" s="967" t="str">
        <f t="shared" si="6"/>
        <v/>
      </c>
      <c r="AJ20" s="2368"/>
      <c r="AK20" s="623"/>
      <c r="AL20" s="2369" t="s">
        <v>641</v>
      </c>
      <c r="AM20" s="2369"/>
      <c r="AN20" s="624" t="str">
        <f>IF(E19&lt;&gt;"",IF(OR(WEEKDAY(DATE($A19,$B19,E19),2)&gt;6,COUNTIF('休日情報(要更新)'!$A$5:$J$32,DATE($A19,$B19,E19)) &gt;=1),"○",IF(WEEKDAY(DATE($A19,$B19,E19),2)=6,"●","")),"×")</f>
        <v>○</v>
      </c>
      <c r="AO20" s="624" t="str">
        <f>IF(F19&lt;&gt;"",IF(OR(WEEKDAY(DATE($A19,$B19,F19),2)&gt;6,COUNTIF('休日情報(要更新)'!$A$5:$J$32,DATE($A19,$B19,F19)) &gt;=1),"○",IF(WEEKDAY(DATE($A19,$B19,F19),2)=6,"●","")),"×")</f>
        <v/>
      </c>
      <c r="AP20" s="624" t="str">
        <f>IF(G19&lt;&gt;"",IF(OR(WEEKDAY(DATE($A19,$B19,G19),2)&gt;6,COUNTIF('休日情報(要更新)'!$A$5:$J$32,DATE($A19,$B19,G19)) &gt;=1),"○",IF(WEEKDAY(DATE($A19,$B19,G19),2)=6,"●","")),"×")</f>
        <v/>
      </c>
      <c r="AQ20" s="624" t="str">
        <f>IF(H19&lt;&gt;"",IF(OR(WEEKDAY(DATE($A19,$B19,H19),2)&gt;6,COUNTIF('休日情報(要更新)'!$A$5:$J$32,DATE($A19,$B19,H19)) &gt;=1),"○",IF(WEEKDAY(DATE($A19,$B19,H19),2)=6,"●","")),"×")</f>
        <v/>
      </c>
      <c r="AR20" s="624" t="str">
        <f>IF(I19&lt;&gt;"",IF(OR(WEEKDAY(DATE($A19,$B19,I19),2)&gt;6,COUNTIF('休日情報(要更新)'!$A$5:$J$32,DATE($A19,$B19,I19)) &gt;=1),"○",IF(WEEKDAY(DATE($A19,$B19,I19),2)=6,"●","")),"×")</f>
        <v/>
      </c>
      <c r="AS20" s="624" t="str">
        <f>IF(J19&lt;&gt;"",IF(OR(WEEKDAY(DATE($A19,$B19,J19),2)&gt;6,COUNTIF('休日情報(要更新)'!$A$5:$J$32,DATE($A19,$B19,J19)) &gt;=1),"○",IF(WEEKDAY(DATE($A19,$B19,J19),2)=6,"●","")),"×")</f>
        <v/>
      </c>
      <c r="AT20" s="624" t="str">
        <f>IF(K19&lt;&gt;"",IF(OR(WEEKDAY(DATE($A19,$B19,K19),2)&gt;6,COUNTIF('休日情報(要更新)'!$A$5:$J$32,DATE($A19,$B19,K19)) &gt;=1),"○",IF(WEEKDAY(DATE($A19,$B19,K19),2)=6,"●","")),"×")</f>
        <v>●</v>
      </c>
      <c r="AU20" s="624" t="str">
        <f>IF(L19&lt;&gt;"",IF(OR(WEEKDAY(DATE($A19,$B19,L19),2)&gt;6,COUNTIF('休日情報(要更新)'!$A$5:$J$32,DATE($A19,$B19,L19)) &gt;=1),"○",IF(WEEKDAY(DATE($A19,$B19,L19),2)=6,"●","")),"×")</f>
        <v>○</v>
      </c>
      <c r="AV20" s="624" t="str">
        <f>IF(M19&lt;&gt;"",IF(OR(WEEKDAY(DATE($A19,$B19,M19),2)&gt;6,COUNTIF('休日情報(要更新)'!$A$5:$J$32,DATE($A19,$B19,M19)) &gt;=1),"○",IF(WEEKDAY(DATE($A19,$B19,M19),2)=6,"●","")),"×")</f>
        <v/>
      </c>
      <c r="AW20" s="624" t="str">
        <f>IF(N19&lt;&gt;"",IF(OR(WEEKDAY(DATE($A19,$B19,N19),2)&gt;6,COUNTIF('休日情報(要更新)'!$A$5:$J$32,DATE($A19,$B19,N19)) &gt;=1),"○",IF(WEEKDAY(DATE($A19,$B19,N19),2)=6,"●","")),"×")</f>
        <v/>
      </c>
      <c r="AX20" s="624" t="str">
        <f>IF(O19&lt;&gt;"",IF(OR(WEEKDAY(DATE($A19,$B19,O19),2)&gt;6,COUNTIF('休日情報(要更新)'!$A$5:$J$32,DATE($A19,$B19,O19)) &gt;=1),"○",IF(WEEKDAY(DATE($A19,$B19,O19),2)=6,"●","")),"×")</f>
        <v/>
      </c>
      <c r="AY20" s="624" t="str">
        <f>IF(P19&lt;&gt;"",IF(OR(WEEKDAY(DATE($A19,$B19,P19),2)&gt;6,COUNTIF('休日情報(要更新)'!$A$5:$J$32,DATE($A19,$B19,P19)) &gt;=1),"○",IF(WEEKDAY(DATE($A19,$B19,P19),2)=6,"●","")),"×")</f>
        <v/>
      </c>
      <c r="AZ20" s="624" t="str">
        <f>IF(Q19&lt;&gt;"",IF(OR(WEEKDAY(DATE($A19,$B19,Q19),2)&gt;6,COUNTIF('休日情報(要更新)'!$A$5:$J$32,DATE($A19,$B19,Q19)) &gt;=1),"○",IF(WEEKDAY(DATE($A19,$B19,Q19),2)=6,"●","")),"×")</f>
        <v/>
      </c>
      <c r="BA20" s="624" t="str">
        <f>IF(R19&lt;&gt;"",IF(OR(WEEKDAY(DATE($A19,$B19,R19),2)&gt;6,COUNTIF('休日情報(要更新)'!$A$5:$J$32,DATE($A19,$B19,R19)) &gt;=1),"○",IF(WEEKDAY(DATE($A19,$B19,R19),2)=6,"●","")),"×")</f>
        <v>●</v>
      </c>
      <c r="BB20" s="624" t="str">
        <f>IF(S19&lt;&gt;"",IF(OR(WEEKDAY(DATE($A19,$B19,S19),2)&gt;6,COUNTIF('休日情報(要更新)'!$A$5:$J$32,DATE($A19,$B19,S19)) &gt;=1),"○",IF(WEEKDAY(DATE($A19,$B19,S19),2)=6,"●","")),"×")</f>
        <v>○</v>
      </c>
      <c r="BC20" s="624" t="str">
        <f>IF(T19&lt;&gt;"",IF(OR(WEEKDAY(DATE($A19,$B19,T19),2)&gt;6,COUNTIF('休日情報(要更新)'!$A$5:$J$32,DATE($A19,$B19,T19)) &gt;=1),"○",IF(WEEKDAY(DATE($A19,$B19,T19),2)=6,"●","")),"×")</f>
        <v/>
      </c>
      <c r="BD20" s="624" t="str">
        <f>IF(U19&lt;&gt;"",IF(OR(WEEKDAY(DATE($A19,$B19,U19),2)&gt;6,COUNTIF('休日情報(要更新)'!$A$5:$J$32,DATE($A19,$B19,U19)) &gt;=1),"○",IF(WEEKDAY(DATE($A19,$B19,U19),2)=6,"●","")),"×")</f>
        <v/>
      </c>
      <c r="BE20" s="624" t="str">
        <f>IF(V19&lt;&gt;"",IF(OR(WEEKDAY(DATE($A19,$B19,V19),2)&gt;6,COUNTIF('休日情報(要更新)'!$A$5:$J$32,DATE($A19,$B19,V19)) &gt;=1),"○",IF(WEEKDAY(DATE($A19,$B19,V19),2)=6,"●","")),"×")</f>
        <v/>
      </c>
      <c r="BF20" s="624" t="str">
        <f>IF(W19&lt;&gt;"",IF(OR(WEEKDAY(DATE($A19,$B19,W19),2)&gt;6,COUNTIF('休日情報(要更新)'!$A$5:$J$32,DATE($A19,$B19,W19)) &gt;=1),"○",IF(WEEKDAY(DATE($A19,$B19,W19),2)=6,"●","")),"×")</f>
        <v/>
      </c>
      <c r="BG20" s="624" t="str">
        <f>IF(X19&lt;&gt;"",IF(OR(WEEKDAY(DATE($A19,$B19,X19),2)&gt;6,COUNTIF('休日情報(要更新)'!$A$5:$J$32,DATE($A19,$B19,X19)) &gt;=1),"○",IF(WEEKDAY(DATE($A19,$B19,X19),2)=6,"●","")),"×")</f>
        <v/>
      </c>
      <c r="BH20" s="624" t="str">
        <f>IF(Y19&lt;&gt;"",IF(OR(WEEKDAY(DATE($A19,$B19,Y19),2)&gt;6,COUNTIF('休日情報(要更新)'!$A$5:$J$32,DATE($A19,$B19,Y19)) &gt;=1),"○",IF(WEEKDAY(DATE($A19,$B19,Y19),2)=6,"●","")),"×")</f>
        <v>●</v>
      </c>
      <c r="BI20" s="624" t="str">
        <f>IF(Z19&lt;&gt;"",IF(OR(WEEKDAY(DATE($A19,$B19,Z19),2)&gt;6,COUNTIF('休日情報(要更新)'!$A$5:$J$32,DATE($A19,$B19,Z19)) &gt;=1),"○",IF(WEEKDAY(DATE($A19,$B19,Z19),2)=6,"●","")),"×")</f>
        <v>○</v>
      </c>
      <c r="BJ20" s="624" t="str">
        <f>IF(AA19&lt;&gt;"",IF(OR(WEEKDAY(DATE($A19,$B19,AA19),2)&gt;6,COUNTIF('休日情報(要更新)'!$A$5:$J$32,DATE($A19,$B19,AA19)) &gt;=1),"○",IF(WEEKDAY(DATE($A19,$B19,AA19),2)=6,"●","")),"×")</f>
        <v/>
      </c>
      <c r="BK20" s="624" t="str">
        <f>IF(AB19&lt;&gt;"",IF(OR(WEEKDAY(DATE($A19,$B19,AB19),2)&gt;6,COUNTIF('休日情報(要更新)'!$A$5:$J$32,DATE($A19,$B19,AB19)) &gt;=1),"○",IF(WEEKDAY(DATE($A19,$B19,AB19),2)=6,"●","")),"×")</f>
        <v/>
      </c>
      <c r="BL20" s="624" t="str">
        <f>IF(AC19&lt;&gt;"",IF(OR(WEEKDAY(DATE($A19,$B19,AC19),2)&gt;6,COUNTIF('休日情報(要更新)'!$A$5:$J$32,DATE($A19,$B19,AC19)) &gt;=1),"○",IF(WEEKDAY(DATE($A19,$B19,AC19),2)=6,"●","")),"×")</f>
        <v/>
      </c>
      <c r="BM20" s="624" t="str">
        <f>IF(AD19&lt;&gt;"",IF(OR(WEEKDAY(DATE($A19,$B19,AD19),2)&gt;6,COUNTIF('休日情報(要更新)'!$A$5:$J$32,DATE($A19,$B19,AD19)) &gt;=1),"○",IF(WEEKDAY(DATE($A19,$B19,AD19),2)=6,"●","")),"×")</f>
        <v/>
      </c>
      <c r="BN20" s="624" t="str">
        <f>IF(AE19&lt;&gt;"",IF(OR(WEEKDAY(DATE($A19,$B19,AE19),2)&gt;6,COUNTIF('休日情報(要更新)'!$A$5:$J$32,DATE($A19,$B19,AE19)) &gt;=1),"○",IF(WEEKDAY(DATE($A19,$B19,AE19),2)=6,"●","")),"×")</f>
        <v/>
      </c>
      <c r="BO20" s="624" t="str">
        <f>IF(AF19&lt;&gt;"",IF(OR(WEEKDAY(DATE($A19,$B19,AF19),2)&gt;6,COUNTIF('休日情報(要更新)'!$A$5:$J$32,DATE($A19,$B19,AF19)) &gt;=1),"○",IF(WEEKDAY(DATE($A19,$B19,AF19),2)=6,"●","")),"×")</f>
        <v>●</v>
      </c>
      <c r="BP20" s="624" t="str">
        <f>IF(AG19&lt;&gt;"",IF(OR(WEEKDAY(DATE($A19,$B19,AG19),2)&gt;6,COUNTIF('休日情報(要更新)'!$A$5:$J$32,DATE($A19,$B19,AG19)) &gt;=1),"○",IF(WEEKDAY(DATE($A19,$B19,AG19),2)=6,"●","")),"×")</f>
        <v>○</v>
      </c>
      <c r="BQ20" s="624" t="str">
        <f>IF(AH19&lt;&gt;"",IF(OR(WEEKDAY(DATE($A19,$B19,AH19),2)&gt;6,COUNTIF('休日情報(要更新)'!$A$5:$J$32,DATE($A19,$B19,AH19)) &gt;=1),"○",IF(WEEKDAY(DATE($A19,$B19,AH19),2)=6,"●","")),"×")</f>
        <v/>
      </c>
      <c r="BR20" s="624" t="str">
        <f>IF(AI19&lt;&gt;"",IF(OR(WEEKDAY(DATE($A19,$B19,AI19),2)&gt;6,COUNTIF('休日情報(要更新)'!$A$5:$J$32,DATE($A19,$B19,AI19)) &gt;=1),"○",IF(WEEKDAY(DATE($A19,$B19,AI19),2)=6,"●","")),"×")</f>
        <v>×</v>
      </c>
    </row>
    <row r="21" spans="1:70" ht="12" customHeight="1">
      <c r="A21" s="2361"/>
      <c r="B21" s="2363"/>
      <c r="C21" s="2370"/>
      <c r="D21" s="626" t="s">
        <v>653</v>
      </c>
      <c r="E21" s="627"/>
      <c r="F21" s="628"/>
      <c r="G21" s="628"/>
      <c r="H21" s="628"/>
      <c r="I21" s="628"/>
      <c r="J21" s="628"/>
      <c r="K21" s="628"/>
      <c r="L21" s="628"/>
      <c r="M21" s="628"/>
      <c r="N21" s="628"/>
      <c r="O21" s="628"/>
      <c r="P21" s="628"/>
      <c r="Q21" s="628"/>
      <c r="R21" s="628"/>
      <c r="S21" s="628"/>
      <c r="T21" s="628"/>
      <c r="U21" s="628"/>
      <c r="V21" s="628"/>
      <c r="W21" s="628"/>
      <c r="X21" s="628"/>
      <c r="Y21" s="628"/>
      <c r="Z21" s="628"/>
      <c r="AA21" s="628"/>
      <c r="AB21" s="628"/>
      <c r="AC21" s="628"/>
      <c r="AD21" s="628"/>
      <c r="AE21" s="628"/>
      <c r="AF21" s="628"/>
      <c r="AG21" s="628"/>
      <c r="AH21" s="628"/>
      <c r="AI21" s="629"/>
      <c r="AJ21" s="630">
        <f>COUNTIFS(AN20:BR20,"",E21:AI21,"○")</f>
        <v>0</v>
      </c>
      <c r="AK21" s="631"/>
    </row>
    <row r="22" spans="1:70" ht="12.75" customHeight="1">
      <c r="A22" s="2361"/>
      <c r="B22" s="2363"/>
      <c r="C22" s="2371"/>
      <c r="D22" s="821" t="s">
        <v>654</v>
      </c>
      <c r="E22" s="822"/>
      <c r="F22" s="823"/>
      <c r="G22" s="823"/>
      <c r="H22" s="823"/>
      <c r="I22" s="823"/>
      <c r="J22" s="823"/>
      <c r="K22" s="823"/>
      <c r="L22" s="823"/>
      <c r="M22" s="823"/>
      <c r="N22" s="823"/>
      <c r="O22" s="823"/>
      <c r="P22" s="823"/>
      <c r="Q22" s="823"/>
      <c r="R22" s="823"/>
      <c r="S22" s="823"/>
      <c r="T22" s="823"/>
      <c r="U22" s="823"/>
      <c r="V22" s="823"/>
      <c r="W22" s="823"/>
      <c r="X22" s="823"/>
      <c r="Y22" s="823"/>
      <c r="Z22" s="823"/>
      <c r="AA22" s="823"/>
      <c r="AB22" s="823"/>
      <c r="AC22" s="823"/>
      <c r="AD22" s="823"/>
      <c r="AE22" s="823"/>
      <c r="AF22" s="823"/>
      <c r="AG22" s="823"/>
      <c r="AH22" s="823"/>
      <c r="AI22" s="824"/>
      <c r="AJ22" s="825">
        <f>COUNTIFS(E21:AI21,"○",AN20:BR20,"",E22:AI22,"○")</f>
        <v>0</v>
      </c>
    </row>
    <row r="23" spans="1:70" ht="12.75" customHeight="1">
      <c r="A23" s="955"/>
      <c r="B23" s="2364"/>
      <c r="C23" s="2372"/>
      <c r="D23" s="633" t="s">
        <v>1182</v>
      </c>
      <c r="E23" s="634"/>
      <c r="F23" s="635"/>
      <c r="G23" s="635"/>
      <c r="H23" s="635"/>
      <c r="I23" s="635"/>
      <c r="J23" s="635"/>
      <c r="K23" s="635"/>
      <c r="L23" s="635"/>
      <c r="M23" s="635"/>
      <c r="N23" s="635"/>
      <c r="O23" s="635"/>
      <c r="P23" s="635"/>
      <c r="Q23" s="635"/>
      <c r="R23" s="635"/>
      <c r="S23" s="635"/>
      <c r="T23" s="635"/>
      <c r="U23" s="635"/>
      <c r="V23" s="635"/>
      <c r="W23" s="635"/>
      <c r="X23" s="635"/>
      <c r="Y23" s="635"/>
      <c r="Z23" s="635"/>
      <c r="AA23" s="635"/>
      <c r="AB23" s="635"/>
      <c r="AC23" s="635"/>
      <c r="AD23" s="635"/>
      <c r="AE23" s="635"/>
      <c r="AF23" s="635"/>
      <c r="AG23" s="635"/>
      <c r="AH23" s="635"/>
      <c r="AI23" s="636"/>
      <c r="AJ23" s="637">
        <f>COUNTIFS(E21:AI21,"○",AN20:BR20,"",E22:AI22,"○",E23:AI23,"○")</f>
        <v>0</v>
      </c>
    </row>
    <row r="24" spans="1:70" ht="12" customHeight="1">
      <c r="A24" s="2361">
        <f>IF($AN$7=0,#REF!,$AN$7)+IF(AND($B24&gt;=1,$B24&lt;=3),1,0)</f>
        <v>2025</v>
      </c>
      <c r="B24" s="2374">
        <v>7</v>
      </c>
      <c r="C24" s="2372" t="s">
        <v>864</v>
      </c>
      <c r="D24" s="826" t="s">
        <v>643</v>
      </c>
      <c r="E24" s="827">
        <v>1</v>
      </c>
      <c r="F24" s="703">
        <v>2</v>
      </c>
      <c r="G24" s="703">
        <v>3</v>
      </c>
      <c r="H24" s="703">
        <v>4</v>
      </c>
      <c r="I24" s="703">
        <v>5</v>
      </c>
      <c r="J24" s="703">
        <v>6</v>
      </c>
      <c r="K24" s="703">
        <v>7</v>
      </c>
      <c r="L24" s="703">
        <v>8</v>
      </c>
      <c r="M24" s="703">
        <v>9</v>
      </c>
      <c r="N24" s="703">
        <v>10</v>
      </c>
      <c r="O24" s="703">
        <v>11</v>
      </c>
      <c r="P24" s="703">
        <v>12</v>
      </c>
      <c r="Q24" s="703">
        <v>13</v>
      </c>
      <c r="R24" s="703">
        <v>14</v>
      </c>
      <c r="S24" s="703">
        <v>15</v>
      </c>
      <c r="T24" s="703">
        <v>16</v>
      </c>
      <c r="U24" s="703">
        <v>17</v>
      </c>
      <c r="V24" s="703">
        <v>18</v>
      </c>
      <c r="W24" s="703">
        <v>19</v>
      </c>
      <c r="X24" s="703">
        <v>20</v>
      </c>
      <c r="Y24" s="703">
        <v>21</v>
      </c>
      <c r="Z24" s="703">
        <v>22</v>
      </c>
      <c r="AA24" s="703">
        <v>23</v>
      </c>
      <c r="AB24" s="703">
        <v>24</v>
      </c>
      <c r="AC24" s="703">
        <v>25</v>
      </c>
      <c r="AD24" s="703">
        <v>26</v>
      </c>
      <c r="AE24" s="703">
        <v>27</v>
      </c>
      <c r="AF24" s="703">
        <v>28</v>
      </c>
      <c r="AG24" s="703">
        <f>IF(MONTH(DATE($A24,B24,AF24+1))=B24,AF24+1,"")</f>
        <v>29</v>
      </c>
      <c r="AH24" s="703">
        <f t="shared" ref="AH24" si="7">IF(B24&lt;&gt;2,IF(AG24&lt;&gt;"",AG24+1,""),"")</f>
        <v>30</v>
      </c>
      <c r="AI24" s="704">
        <f t="shared" ref="AI24" si="8">IF(OR(B24=1,B24=3,B24=5,B24=7,B24=8,B24=10,B24=12),AH24+1,"")</f>
        <v>31</v>
      </c>
      <c r="AJ24" s="2373" t="s">
        <v>22</v>
      </c>
      <c r="AK24" s="623"/>
      <c r="AL24" s="2369" t="s">
        <v>444</v>
      </c>
      <c r="AM24" s="2369"/>
      <c r="AN24" s="624">
        <v>1</v>
      </c>
      <c r="AO24" s="624">
        <v>2</v>
      </c>
      <c r="AP24" s="624">
        <v>3</v>
      </c>
      <c r="AQ24" s="624">
        <v>4</v>
      </c>
      <c r="AR24" s="624">
        <v>5</v>
      </c>
      <c r="AS24" s="624">
        <v>6</v>
      </c>
      <c r="AT24" s="624">
        <v>7</v>
      </c>
      <c r="AU24" s="624">
        <v>8</v>
      </c>
      <c r="AV24" s="624">
        <v>9</v>
      </c>
      <c r="AW24" s="624">
        <v>10</v>
      </c>
      <c r="AX24" s="624">
        <v>11</v>
      </c>
      <c r="AY24" s="624">
        <v>12</v>
      </c>
      <c r="AZ24" s="624">
        <v>13</v>
      </c>
      <c r="BA24" s="624">
        <v>14</v>
      </c>
      <c r="BB24" s="624">
        <v>15</v>
      </c>
      <c r="BC24" s="624">
        <v>16</v>
      </c>
      <c r="BD24" s="624">
        <v>17</v>
      </c>
      <c r="BE24" s="624">
        <v>18</v>
      </c>
      <c r="BF24" s="624">
        <v>19</v>
      </c>
      <c r="BG24" s="624">
        <v>20</v>
      </c>
      <c r="BH24" s="624">
        <v>21</v>
      </c>
      <c r="BI24" s="624">
        <v>22</v>
      </c>
      <c r="BJ24" s="624">
        <v>23</v>
      </c>
      <c r="BK24" s="624">
        <v>24</v>
      </c>
      <c r="BL24" s="624">
        <v>25</v>
      </c>
      <c r="BM24" s="624">
        <v>26</v>
      </c>
      <c r="BN24" s="624">
        <v>27</v>
      </c>
      <c r="BO24" s="624">
        <v>28</v>
      </c>
      <c r="BP24" s="624">
        <v>29</v>
      </c>
      <c r="BQ24" s="624">
        <v>30</v>
      </c>
      <c r="BR24" s="624">
        <v>31</v>
      </c>
    </row>
    <row r="25" spans="1:70" ht="12" customHeight="1">
      <c r="A25" s="2361"/>
      <c r="B25" s="2363"/>
      <c r="C25" s="2366"/>
      <c r="D25" s="625" t="s">
        <v>445</v>
      </c>
      <c r="E25" s="966" t="str">
        <f t="shared" ref="E25:AI25" si="9">IF(E24&lt;&gt;"",HLOOKUP(WEEKDAY(DATE($A24,$B24,E24)),$AP$1:$AV$2,2,FALSE),"")</f>
        <v>（火）</v>
      </c>
      <c r="F25" s="964" t="str">
        <f t="shared" si="9"/>
        <v>（水）</v>
      </c>
      <c r="G25" s="964" t="str">
        <f t="shared" si="9"/>
        <v>（木）</v>
      </c>
      <c r="H25" s="964" t="str">
        <f t="shared" si="9"/>
        <v>（金）</v>
      </c>
      <c r="I25" s="964" t="str">
        <f t="shared" si="9"/>
        <v>（土）</v>
      </c>
      <c r="J25" s="964" t="str">
        <f t="shared" si="9"/>
        <v>（日）</v>
      </c>
      <c r="K25" s="964" t="str">
        <f t="shared" si="9"/>
        <v>（月）</v>
      </c>
      <c r="L25" s="964" t="str">
        <f t="shared" si="9"/>
        <v>（火）</v>
      </c>
      <c r="M25" s="964" t="str">
        <f t="shared" si="9"/>
        <v>（水）</v>
      </c>
      <c r="N25" s="964" t="str">
        <f t="shared" si="9"/>
        <v>（木）</v>
      </c>
      <c r="O25" s="964" t="str">
        <f t="shared" si="9"/>
        <v>（金）</v>
      </c>
      <c r="P25" s="964" t="str">
        <f t="shared" si="9"/>
        <v>（土）</v>
      </c>
      <c r="Q25" s="964" t="str">
        <f t="shared" si="9"/>
        <v>（日）</v>
      </c>
      <c r="R25" s="964" t="str">
        <f t="shared" si="9"/>
        <v>（月）</v>
      </c>
      <c r="S25" s="964" t="str">
        <f t="shared" si="9"/>
        <v>（火）</v>
      </c>
      <c r="T25" s="964" t="str">
        <f t="shared" si="9"/>
        <v>（水）</v>
      </c>
      <c r="U25" s="964" t="str">
        <f t="shared" si="9"/>
        <v>（木）</v>
      </c>
      <c r="V25" s="964" t="str">
        <f t="shared" si="9"/>
        <v>（金）</v>
      </c>
      <c r="W25" s="964" t="str">
        <f t="shared" si="9"/>
        <v>（土）</v>
      </c>
      <c r="X25" s="964" t="str">
        <f t="shared" si="9"/>
        <v>（日）</v>
      </c>
      <c r="Y25" s="964" t="str">
        <f t="shared" si="9"/>
        <v>（月）</v>
      </c>
      <c r="Z25" s="964" t="str">
        <f t="shared" si="9"/>
        <v>（火）</v>
      </c>
      <c r="AA25" s="964" t="str">
        <f t="shared" si="9"/>
        <v>（水）</v>
      </c>
      <c r="AB25" s="964" t="str">
        <f t="shared" si="9"/>
        <v>（木）</v>
      </c>
      <c r="AC25" s="964" t="str">
        <f t="shared" si="9"/>
        <v>（金）</v>
      </c>
      <c r="AD25" s="964" t="str">
        <f t="shared" si="9"/>
        <v>（土）</v>
      </c>
      <c r="AE25" s="964" t="str">
        <f t="shared" si="9"/>
        <v>（日）</v>
      </c>
      <c r="AF25" s="964" t="str">
        <f t="shared" si="9"/>
        <v>（月）</v>
      </c>
      <c r="AG25" s="964" t="str">
        <f t="shared" si="9"/>
        <v>（火）</v>
      </c>
      <c r="AH25" s="964" t="str">
        <f t="shared" si="9"/>
        <v>（水）</v>
      </c>
      <c r="AI25" s="967" t="str">
        <f t="shared" si="9"/>
        <v>（木）</v>
      </c>
      <c r="AJ25" s="2368"/>
      <c r="AK25" s="623"/>
      <c r="AL25" s="2369" t="s">
        <v>641</v>
      </c>
      <c r="AM25" s="2369"/>
      <c r="AN25" s="624" t="str">
        <f>IF(E24&lt;&gt;"",IF(OR(WEEKDAY(DATE($A24,$B24,E24),2)&gt;6,COUNTIF('休日情報(要更新)'!$A$5:$J$32,DATE($A24,$B24,E24)) &gt;=1),"○",IF(WEEKDAY(DATE($A24,$B24,E24),2)=6,"●","")),"×")</f>
        <v/>
      </c>
      <c r="AO25" s="624" t="str">
        <f>IF(F24&lt;&gt;"",IF(OR(WEEKDAY(DATE($A24,$B24,F24),2)&gt;6,COUNTIF('休日情報(要更新)'!$A$5:$J$32,DATE($A24,$B24,F24)) &gt;=1),"○",IF(WEEKDAY(DATE($A24,$B24,F24),2)=6,"●","")),"×")</f>
        <v/>
      </c>
      <c r="AP25" s="624" t="str">
        <f>IF(G24&lt;&gt;"",IF(OR(WEEKDAY(DATE($A24,$B24,G24),2)&gt;6,COUNTIF('休日情報(要更新)'!$A$5:$J$32,DATE($A24,$B24,G24)) &gt;=1),"○",IF(WEEKDAY(DATE($A24,$B24,G24),2)=6,"●","")),"×")</f>
        <v/>
      </c>
      <c r="AQ25" s="624" t="str">
        <f>IF(H24&lt;&gt;"",IF(OR(WEEKDAY(DATE($A24,$B24,H24),2)&gt;6,COUNTIF('休日情報(要更新)'!$A$5:$J$32,DATE($A24,$B24,H24)) &gt;=1),"○",IF(WEEKDAY(DATE($A24,$B24,H24),2)=6,"●","")),"×")</f>
        <v/>
      </c>
      <c r="AR25" s="624" t="str">
        <f>IF(I24&lt;&gt;"",IF(OR(WEEKDAY(DATE($A24,$B24,I24),2)&gt;6,COUNTIF('休日情報(要更新)'!$A$5:$J$32,DATE($A24,$B24,I24)) &gt;=1),"○",IF(WEEKDAY(DATE($A24,$B24,I24),2)=6,"●","")),"×")</f>
        <v>●</v>
      </c>
      <c r="AS25" s="624" t="str">
        <f>IF(J24&lt;&gt;"",IF(OR(WEEKDAY(DATE($A24,$B24,J24),2)&gt;6,COUNTIF('休日情報(要更新)'!$A$5:$J$32,DATE($A24,$B24,J24)) &gt;=1),"○",IF(WEEKDAY(DATE($A24,$B24,J24),2)=6,"●","")),"×")</f>
        <v>○</v>
      </c>
      <c r="AT25" s="624" t="str">
        <f>IF(K24&lt;&gt;"",IF(OR(WEEKDAY(DATE($A24,$B24,K24),2)&gt;6,COUNTIF('休日情報(要更新)'!$A$5:$J$32,DATE($A24,$B24,K24)) &gt;=1),"○",IF(WEEKDAY(DATE($A24,$B24,K24),2)=6,"●","")),"×")</f>
        <v/>
      </c>
      <c r="AU25" s="624" t="str">
        <f>IF(L24&lt;&gt;"",IF(OR(WEEKDAY(DATE($A24,$B24,L24),2)&gt;6,COUNTIF('休日情報(要更新)'!$A$5:$J$32,DATE($A24,$B24,L24)) &gt;=1),"○",IF(WEEKDAY(DATE($A24,$B24,L24),2)=6,"●","")),"×")</f>
        <v/>
      </c>
      <c r="AV25" s="624" t="str">
        <f>IF(M24&lt;&gt;"",IF(OR(WEEKDAY(DATE($A24,$B24,M24),2)&gt;6,COUNTIF('休日情報(要更新)'!$A$5:$J$32,DATE($A24,$B24,M24)) &gt;=1),"○",IF(WEEKDAY(DATE($A24,$B24,M24),2)=6,"●","")),"×")</f>
        <v/>
      </c>
      <c r="AW25" s="624" t="str">
        <f>IF(N24&lt;&gt;"",IF(OR(WEEKDAY(DATE($A24,$B24,N24),2)&gt;6,COUNTIF('休日情報(要更新)'!$A$5:$J$32,DATE($A24,$B24,N24)) &gt;=1),"○",IF(WEEKDAY(DATE($A24,$B24,N24),2)=6,"●","")),"×")</f>
        <v/>
      </c>
      <c r="AX25" s="624" t="str">
        <f>IF(O24&lt;&gt;"",IF(OR(WEEKDAY(DATE($A24,$B24,O24),2)&gt;6,COUNTIF('休日情報(要更新)'!$A$5:$J$32,DATE($A24,$B24,O24)) &gt;=1),"○",IF(WEEKDAY(DATE($A24,$B24,O24),2)=6,"●","")),"×")</f>
        <v/>
      </c>
      <c r="AY25" s="624" t="str">
        <f>IF(P24&lt;&gt;"",IF(OR(WEEKDAY(DATE($A24,$B24,P24),2)&gt;6,COUNTIF('休日情報(要更新)'!$A$5:$J$32,DATE($A24,$B24,P24)) &gt;=1),"○",IF(WEEKDAY(DATE($A24,$B24,P24),2)=6,"●","")),"×")</f>
        <v>●</v>
      </c>
      <c r="AZ25" s="624" t="str">
        <f>IF(Q24&lt;&gt;"",IF(OR(WEEKDAY(DATE($A24,$B24,Q24),2)&gt;6,COUNTIF('休日情報(要更新)'!$A$5:$J$32,DATE($A24,$B24,Q24)) &gt;=1),"○",IF(WEEKDAY(DATE($A24,$B24,Q24),2)=6,"●","")),"×")</f>
        <v>○</v>
      </c>
      <c r="BA25" s="624" t="str">
        <f>IF(R24&lt;&gt;"",IF(OR(WEEKDAY(DATE($A24,$B24,R24),2)&gt;6,COUNTIF('休日情報(要更新)'!$A$5:$J$32,DATE($A24,$B24,R24)) &gt;=1),"○",IF(WEEKDAY(DATE($A24,$B24,R24),2)=6,"●","")),"×")</f>
        <v/>
      </c>
      <c r="BB25" s="624" t="str">
        <f>IF(S24&lt;&gt;"",IF(OR(WEEKDAY(DATE($A24,$B24,S24),2)&gt;6,COUNTIF('休日情報(要更新)'!$A$5:$J$32,DATE($A24,$B24,S24)) &gt;=1),"○",IF(WEEKDAY(DATE($A24,$B24,S24),2)=6,"●","")),"×")</f>
        <v/>
      </c>
      <c r="BC25" s="624" t="str">
        <f>IF(T24&lt;&gt;"",IF(OR(WEEKDAY(DATE($A24,$B24,T24),2)&gt;6,COUNTIF('休日情報(要更新)'!$A$5:$J$32,DATE($A24,$B24,T24)) &gt;=1),"○",IF(WEEKDAY(DATE($A24,$B24,T24),2)=6,"●","")),"×")</f>
        <v/>
      </c>
      <c r="BD25" s="624" t="str">
        <f>IF(U24&lt;&gt;"",IF(OR(WEEKDAY(DATE($A24,$B24,U24),2)&gt;6,COUNTIF('休日情報(要更新)'!$A$5:$J$32,DATE($A24,$B24,U24)) &gt;=1),"○",IF(WEEKDAY(DATE($A24,$B24,U24),2)=6,"●","")),"×")</f>
        <v/>
      </c>
      <c r="BE25" s="624" t="str">
        <f>IF(V24&lt;&gt;"",IF(OR(WEEKDAY(DATE($A24,$B24,V24),2)&gt;6,COUNTIF('休日情報(要更新)'!$A$5:$J$32,DATE($A24,$B24,V24)) &gt;=1),"○",IF(WEEKDAY(DATE($A24,$B24,V24),2)=6,"●","")),"×")</f>
        <v/>
      </c>
      <c r="BF25" s="624" t="str">
        <f>IF(W24&lt;&gt;"",IF(OR(WEEKDAY(DATE($A24,$B24,W24),2)&gt;6,COUNTIF('休日情報(要更新)'!$A$5:$J$32,DATE($A24,$B24,W24)) &gt;=1),"○",IF(WEEKDAY(DATE($A24,$B24,W24),2)=6,"●","")),"×")</f>
        <v>●</v>
      </c>
      <c r="BG25" s="624" t="str">
        <f>IF(X24&lt;&gt;"",IF(OR(WEEKDAY(DATE($A24,$B24,X24),2)&gt;6,COUNTIF('休日情報(要更新)'!$A$5:$J$32,DATE($A24,$B24,X24)) &gt;=1),"○",IF(WEEKDAY(DATE($A24,$B24,X24),2)=6,"●","")),"×")</f>
        <v>○</v>
      </c>
      <c r="BH25" s="624" t="str">
        <f>IF(Y24&lt;&gt;"",IF(OR(WEEKDAY(DATE($A24,$B24,Y24),2)&gt;6,COUNTIF('休日情報(要更新)'!$A$5:$J$32,DATE($A24,$B24,Y24)) &gt;=1),"○",IF(WEEKDAY(DATE($A24,$B24,Y24),2)=6,"●","")),"×")</f>
        <v>○</v>
      </c>
      <c r="BI25" s="624" t="str">
        <f>IF(Z24&lt;&gt;"",IF(OR(WEEKDAY(DATE($A24,$B24,Z24),2)&gt;6,COUNTIF('休日情報(要更新)'!$A$5:$J$32,DATE($A24,$B24,Z24)) &gt;=1),"○",IF(WEEKDAY(DATE($A24,$B24,Z24),2)=6,"●","")),"×")</f>
        <v/>
      </c>
      <c r="BJ25" s="624" t="str">
        <f>IF(AA24&lt;&gt;"",IF(OR(WEEKDAY(DATE($A24,$B24,AA24),2)&gt;6,COUNTIF('休日情報(要更新)'!$A$5:$J$32,DATE($A24,$B24,AA24)) &gt;=1),"○",IF(WEEKDAY(DATE($A24,$B24,AA24),2)=6,"●","")),"×")</f>
        <v/>
      </c>
      <c r="BK25" s="624" t="str">
        <f>IF(AB24&lt;&gt;"",IF(OR(WEEKDAY(DATE($A24,$B24,AB24),2)&gt;6,COUNTIF('休日情報(要更新)'!$A$5:$J$32,DATE($A24,$B24,AB24)) &gt;=1),"○",IF(WEEKDAY(DATE($A24,$B24,AB24),2)=6,"●","")),"×")</f>
        <v/>
      </c>
      <c r="BL25" s="624" t="str">
        <f>IF(AC24&lt;&gt;"",IF(OR(WEEKDAY(DATE($A24,$B24,AC24),2)&gt;6,COUNTIF('休日情報(要更新)'!$A$5:$J$32,DATE($A24,$B24,AC24)) &gt;=1),"○",IF(WEEKDAY(DATE($A24,$B24,AC24),2)=6,"●","")),"×")</f>
        <v/>
      </c>
      <c r="BM25" s="624" t="str">
        <f>IF(AD24&lt;&gt;"",IF(OR(WEEKDAY(DATE($A24,$B24,AD24),2)&gt;6,COUNTIF('休日情報(要更新)'!$A$5:$J$32,DATE($A24,$B24,AD24)) &gt;=1),"○",IF(WEEKDAY(DATE($A24,$B24,AD24),2)=6,"●","")),"×")</f>
        <v>●</v>
      </c>
      <c r="BN25" s="624" t="str">
        <f>IF(AE24&lt;&gt;"",IF(OR(WEEKDAY(DATE($A24,$B24,AE24),2)&gt;6,COUNTIF('休日情報(要更新)'!$A$5:$J$32,DATE($A24,$B24,AE24)) &gt;=1),"○",IF(WEEKDAY(DATE($A24,$B24,AE24),2)=6,"●","")),"×")</f>
        <v>○</v>
      </c>
      <c r="BO25" s="624" t="str">
        <f>IF(AF24&lt;&gt;"",IF(OR(WEEKDAY(DATE($A24,$B24,AF24),2)&gt;6,COUNTIF('休日情報(要更新)'!$A$5:$J$32,DATE($A24,$B24,AF24)) &gt;=1),"○",IF(WEEKDAY(DATE($A24,$B24,AF24),2)=6,"●","")),"×")</f>
        <v/>
      </c>
      <c r="BP25" s="624" t="str">
        <f>IF(AG24&lt;&gt;"",IF(OR(WEEKDAY(DATE($A24,$B24,AG24),2)&gt;6,COUNTIF('休日情報(要更新)'!$A$5:$J$32,DATE($A24,$B24,AG24)) &gt;=1),"○",IF(WEEKDAY(DATE($A24,$B24,AG24),2)=6,"●","")),"×")</f>
        <v/>
      </c>
      <c r="BQ25" s="624" t="str">
        <f>IF(AH24&lt;&gt;"",IF(OR(WEEKDAY(DATE($A24,$B24,AH24),2)&gt;6,COUNTIF('休日情報(要更新)'!$A$5:$J$32,DATE($A24,$B24,AH24)) &gt;=1),"○",IF(WEEKDAY(DATE($A24,$B24,AH24),2)=6,"●","")),"×")</f>
        <v/>
      </c>
      <c r="BR25" s="624" t="str">
        <f>IF(AI24&lt;&gt;"",IF(OR(WEEKDAY(DATE($A24,$B24,AI24),2)&gt;6,COUNTIF('休日情報(要更新)'!$A$5:$J$32,DATE($A24,$B24,AI24)) &gt;=1),"○",IF(WEEKDAY(DATE($A24,$B24,AI24),2)=6,"●","")),"×")</f>
        <v/>
      </c>
    </row>
    <row r="26" spans="1:70" ht="12" customHeight="1">
      <c r="A26" s="2361"/>
      <c r="B26" s="2363"/>
      <c r="C26" s="2370"/>
      <c r="D26" s="626" t="s">
        <v>653</v>
      </c>
      <c r="E26" s="627"/>
      <c r="F26" s="628"/>
      <c r="G26" s="628"/>
      <c r="H26" s="628"/>
      <c r="I26" s="628"/>
      <c r="J26" s="628"/>
      <c r="K26" s="628"/>
      <c r="L26" s="628"/>
      <c r="M26" s="628"/>
      <c r="N26" s="628"/>
      <c r="O26" s="628"/>
      <c r="P26" s="628"/>
      <c r="Q26" s="628"/>
      <c r="R26" s="628"/>
      <c r="S26" s="628"/>
      <c r="T26" s="628"/>
      <c r="U26" s="628"/>
      <c r="V26" s="628"/>
      <c r="W26" s="628"/>
      <c r="X26" s="628"/>
      <c r="Y26" s="628"/>
      <c r="Z26" s="628"/>
      <c r="AA26" s="628"/>
      <c r="AB26" s="628"/>
      <c r="AC26" s="628"/>
      <c r="AD26" s="628"/>
      <c r="AE26" s="628"/>
      <c r="AF26" s="628"/>
      <c r="AG26" s="628"/>
      <c r="AH26" s="628"/>
      <c r="AI26" s="629"/>
      <c r="AJ26" s="630">
        <f>COUNTIFS(AN25:BR25,"",E26:AI26,"○")</f>
        <v>0</v>
      </c>
      <c r="AK26" s="631"/>
    </row>
    <row r="27" spans="1:70" ht="12.75" customHeight="1">
      <c r="A27" s="2361"/>
      <c r="B27" s="2363"/>
      <c r="C27" s="2371"/>
      <c r="D27" s="821" t="s">
        <v>654</v>
      </c>
      <c r="E27" s="822"/>
      <c r="F27" s="823"/>
      <c r="G27" s="823"/>
      <c r="H27" s="823"/>
      <c r="I27" s="823"/>
      <c r="J27" s="823"/>
      <c r="K27" s="823"/>
      <c r="L27" s="823"/>
      <c r="M27" s="823"/>
      <c r="N27" s="823"/>
      <c r="O27" s="823"/>
      <c r="P27" s="823"/>
      <c r="Q27" s="823"/>
      <c r="R27" s="823"/>
      <c r="S27" s="823"/>
      <c r="T27" s="823"/>
      <c r="U27" s="823"/>
      <c r="V27" s="823"/>
      <c r="W27" s="823"/>
      <c r="X27" s="823"/>
      <c r="Y27" s="823"/>
      <c r="Z27" s="823"/>
      <c r="AA27" s="823"/>
      <c r="AB27" s="823"/>
      <c r="AC27" s="823"/>
      <c r="AD27" s="823"/>
      <c r="AE27" s="823"/>
      <c r="AF27" s="823"/>
      <c r="AG27" s="823"/>
      <c r="AH27" s="823"/>
      <c r="AI27" s="824"/>
      <c r="AJ27" s="825">
        <f>COUNTIFS(E26:AI26,"○",AN25:BR25,"",E27:AI27,"○")</f>
        <v>0</v>
      </c>
    </row>
    <row r="28" spans="1:70" ht="12.75" customHeight="1">
      <c r="A28" s="955"/>
      <c r="B28" s="2364"/>
      <c r="C28" s="2372"/>
      <c r="D28" s="633" t="s">
        <v>1182</v>
      </c>
      <c r="E28" s="634"/>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I28" s="636"/>
      <c r="AJ28" s="637">
        <f>COUNTIFS(E26:AI26,"○",AN25:BR25,"",E27:AI27,"○",E28:AI28,"○")</f>
        <v>0</v>
      </c>
    </row>
    <row r="29" spans="1:70" ht="12" customHeight="1">
      <c r="A29" s="2361">
        <f>IF($AN$7=0,#REF!,$AN$7)+IF(AND($B29&gt;=1,$B29&lt;=3),1,0)</f>
        <v>2025</v>
      </c>
      <c r="B29" s="2374">
        <v>8</v>
      </c>
      <c r="C29" s="2372" t="s">
        <v>864</v>
      </c>
      <c r="D29" s="826" t="s">
        <v>643</v>
      </c>
      <c r="E29" s="827">
        <v>1</v>
      </c>
      <c r="F29" s="703">
        <v>2</v>
      </c>
      <c r="G29" s="703">
        <v>3</v>
      </c>
      <c r="H29" s="703">
        <v>4</v>
      </c>
      <c r="I29" s="703">
        <v>5</v>
      </c>
      <c r="J29" s="703">
        <v>6</v>
      </c>
      <c r="K29" s="703">
        <v>7</v>
      </c>
      <c r="L29" s="703">
        <v>8</v>
      </c>
      <c r="M29" s="703">
        <v>9</v>
      </c>
      <c r="N29" s="703">
        <v>10</v>
      </c>
      <c r="O29" s="703">
        <v>11</v>
      </c>
      <c r="P29" s="703">
        <v>12</v>
      </c>
      <c r="Q29" s="703">
        <v>13</v>
      </c>
      <c r="R29" s="703">
        <v>14</v>
      </c>
      <c r="S29" s="703">
        <v>15</v>
      </c>
      <c r="T29" s="703">
        <v>16</v>
      </c>
      <c r="U29" s="703">
        <v>17</v>
      </c>
      <c r="V29" s="703">
        <v>18</v>
      </c>
      <c r="W29" s="703">
        <v>19</v>
      </c>
      <c r="X29" s="703">
        <v>20</v>
      </c>
      <c r="Y29" s="703">
        <v>21</v>
      </c>
      <c r="Z29" s="703">
        <v>22</v>
      </c>
      <c r="AA29" s="703">
        <v>23</v>
      </c>
      <c r="AB29" s="703">
        <v>24</v>
      </c>
      <c r="AC29" s="703">
        <v>25</v>
      </c>
      <c r="AD29" s="703">
        <v>26</v>
      </c>
      <c r="AE29" s="703">
        <v>27</v>
      </c>
      <c r="AF29" s="703">
        <v>28</v>
      </c>
      <c r="AG29" s="703">
        <f>IF(MONTH(DATE($A29,B29,AF29+1))=B29,AF29+1,"")</f>
        <v>29</v>
      </c>
      <c r="AH29" s="703">
        <f t="shared" ref="AH29" si="10">IF(B29&lt;&gt;2,IF(AG29&lt;&gt;"",AG29+1,""),"")</f>
        <v>30</v>
      </c>
      <c r="AI29" s="704">
        <f t="shared" ref="AI29" si="11">IF(OR(B29=1,B29=3,B29=5,B29=7,B29=8,B29=10,B29=12),AH29+1,"")</f>
        <v>31</v>
      </c>
      <c r="AJ29" s="2373" t="s">
        <v>22</v>
      </c>
      <c r="AK29" s="623"/>
      <c r="AL29" s="2369" t="s">
        <v>444</v>
      </c>
      <c r="AM29" s="2369"/>
      <c r="AN29" s="624">
        <v>1</v>
      </c>
      <c r="AO29" s="624">
        <v>2</v>
      </c>
      <c r="AP29" s="624">
        <v>3</v>
      </c>
      <c r="AQ29" s="624">
        <v>4</v>
      </c>
      <c r="AR29" s="624">
        <v>5</v>
      </c>
      <c r="AS29" s="624">
        <v>6</v>
      </c>
      <c r="AT29" s="624">
        <v>7</v>
      </c>
      <c r="AU29" s="624">
        <v>8</v>
      </c>
      <c r="AV29" s="624">
        <v>9</v>
      </c>
      <c r="AW29" s="624">
        <v>10</v>
      </c>
      <c r="AX29" s="624">
        <v>11</v>
      </c>
      <c r="AY29" s="624">
        <v>12</v>
      </c>
      <c r="AZ29" s="624">
        <v>13</v>
      </c>
      <c r="BA29" s="624">
        <v>14</v>
      </c>
      <c r="BB29" s="624">
        <v>15</v>
      </c>
      <c r="BC29" s="624">
        <v>16</v>
      </c>
      <c r="BD29" s="624">
        <v>17</v>
      </c>
      <c r="BE29" s="624">
        <v>18</v>
      </c>
      <c r="BF29" s="624">
        <v>19</v>
      </c>
      <c r="BG29" s="624">
        <v>20</v>
      </c>
      <c r="BH29" s="624">
        <v>21</v>
      </c>
      <c r="BI29" s="624">
        <v>22</v>
      </c>
      <c r="BJ29" s="624">
        <v>23</v>
      </c>
      <c r="BK29" s="624">
        <v>24</v>
      </c>
      <c r="BL29" s="624">
        <v>25</v>
      </c>
      <c r="BM29" s="624">
        <v>26</v>
      </c>
      <c r="BN29" s="624">
        <v>27</v>
      </c>
      <c r="BO29" s="624">
        <v>28</v>
      </c>
      <c r="BP29" s="624">
        <v>29</v>
      </c>
      <c r="BQ29" s="624">
        <v>30</v>
      </c>
      <c r="BR29" s="624">
        <v>31</v>
      </c>
    </row>
    <row r="30" spans="1:70" ht="12" customHeight="1">
      <c r="A30" s="2361"/>
      <c r="B30" s="2363"/>
      <c r="C30" s="2366"/>
      <c r="D30" s="625" t="s">
        <v>445</v>
      </c>
      <c r="E30" s="966" t="str">
        <f t="shared" ref="E30:AI30" si="12">IF(E29&lt;&gt;"",HLOOKUP(WEEKDAY(DATE($A29,$B29,E29)),$AP$1:$AV$2,2,FALSE),"")</f>
        <v>（金）</v>
      </c>
      <c r="F30" s="964" t="str">
        <f t="shared" si="12"/>
        <v>（土）</v>
      </c>
      <c r="G30" s="964" t="str">
        <f t="shared" si="12"/>
        <v>（日）</v>
      </c>
      <c r="H30" s="964" t="str">
        <f t="shared" si="12"/>
        <v>（月）</v>
      </c>
      <c r="I30" s="964" t="str">
        <f t="shared" si="12"/>
        <v>（火）</v>
      </c>
      <c r="J30" s="964" t="str">
        <f t="shared" si="12"/>
        <v>（水）</v>
      </c>
      <c r="K30" s="964" t="str">
        <f t="shared" si="12"/>
        <v>（木）</v>
      </c>
      <c r="L30" s="964" t="str">
        <f t="shared" si="12"/>
        <v>（金）</v>
      </c>
      <c r="M30" s="964" t="str">
        <f t="shared" si="12"/>
        <v>（土）</v>
      </c>
      <c r="N30" s="964" t="str">
        <f t="shared" si="12"/>
        <v>（日）</v>
      </c>
      <c r="O30" s="964" t="str">
        <f t="shared" si="12"/>
        <v>（月）</v>
      </c>
      <c r="P30" s="964" t="str">
        <f t="shared" si="12"/>
        <v>（火）</v>
      </c>
      <c r="Q30" s="964" t="str">
        <f t="shared" si="12"/>
        <v>（水）</v>
      </c>
      <c r="R30" s="964" t="str">
        <f t="shared" si="12"/>
        <v>（木）</v>
      </c>
      <c r="S30" s="964" t="str">
        <f t="shared" si="12"/>
        <v>（金）</v>
      </c>
      <c r="T30" s="964" t="str">
        <f t="shared" si="12"/>
        <v>（土）</v>
      </c>
      <c r="U30" s="964" t="str">
        <f t="shared" si="12"/>
        <v>（日）</v>
      </c>
      <c r="V30" s="964" t="str">
        <f t="shared" si="12"/>
        <v>（月）</v>
      </c>
      <c r="W30" s="964" t="str">
        <f t="shared" si="12"/>
        <v>（火）</v>
      </c>
      <c r="X30" s="964" t="str">
        <f t="shared" si="12"/>
        <v>（水）</v>
      </c>
      <c r="Y30" s="964" t="str">
        <f t="shared" si="12"/>
        <v>（木）</v>
      </c>
      <c r="Z30" s="964" t="str">
        <f t="shared" si="12"/>
        <v>（金）</v>
      </c>
      <c r="AA30" s="964" t="str">
        <f t="shared" si="12"/>
        <v>（土）</v>
      </c>
      <c r="AB30" s="964" t="str">
        <f t="shared" si="12"/>
        <v>（日）</v>
      </c>
      <c r="AC30" s="964" t="str">
        <f t="shared" si="12"/>
        <v>（月）</v>
      </c>
      <c r="AD30" s="964" t="str">
        <f t="shared" si="12"/>
        <v>（火）</v>
      </c>
      <c r="AE30" s="964" t="str">
        <f t="shared" si="12"/>
        <v>（水）</v>
      </c>
      <c r="AF30" s="964" t="str">
        <f t="shared" si="12"/>
        <v>（木）</v>
      </c>
      <c r="AG30" s="964" t="str">
        <f t="shared" si="12"/>
        <v>（金）</v>
      </c>
      <c r="AH30" s="964" t="str">
        <f t="shared" si="12"/>
        <v>（土）</v>
      </c>
      <c r="AI30" s="967" t="str">
        <f t="shared" si="12"/>
        <v>（日）</v>
      </c>
      <c r="AJ30" s="2368"/>
      <c r="AK30" s="623"/>
      <c r="AL30" s="2369" t="s">
        <v>641</v>
      </c>
      <c r="AM30" s="2369"/>
      <c r="AN30" s="624" t="str">
        <f>IF(E29&lt;&gt;"",IF(OR(WEEKDAY(DATE($A29,$B29,E29),2)&gt;6,COUNTIF('休日情報(要更新)'!$A$5:$J$32,DATE($A29,$B29,E29)) &gt;=1),"○",IF(WEEKDAY(DATE($A29,$B29,E29),2)=6,"●","")),"×")</f>
        <v/>
      </c>
      <c r="AO30" s="624" t="str">
        <f>IF(F29&lt;&gt;"",IF(OR(WEEKDAY(DATE($A29,$B29,F29),2)&gt;6,COUNTIF('休日情報(要更新)'!$A$5:$J$32,DATE($A29,$B29,F29)) &gt;=1),"○",IF(WEEKDAY(DATE($A29,$B29,F29),2)=6,"●","")),"×")</f>
        <v>●</v>
      </c>
      <c r="AP30" s="624" t="str">
        <f>IF(G29&lt;&gt;"",IF(OR(WEEKDAY(DATE($A29,$B29,G29),2)&gt;6,COUNTIF('休日情報(要更新)'!$A$5:$J$32,DATE($A29,$B29,G29)) &gt;=1),"○",IF(WEEKDAY(DATE($A29,$B29,G29),2)=6,"●","")),"×")</f>
        <v>○</v>
      </c>
      <c r="AQ30" s="624" t="str">
        <f>IF(H29&lt;&gt;"",IF(OR(WEEKDAY(DATE($A29,$B29,H29),2)&gt;6,COUNTIF('休日情報(要更新)'!$A$5:$J$32,DATE($A29,$B29,H29)) &gt;=1),"○",IF(WEEKDAY(DATE($A29,$B29,H29),2)=6,"●","")),"×")</f>
        <v/>
      </c>
      <c r="AR30" s="624" t="str">
        <f>IF(I29&lt;&gt;"",IF(OR(WEEKDAY(DATE($A29,$B29,I29),2)&gt;6,COUNTIF('休日情報(要更新)'!$A$5:$J$32,DATE($A29,$B29,I29)) &gt;=1),"○",IF(WEEKDAY(DATE($A29,$B29,I29),2)=6,"●","")),"×")</f>
        <v/>
      </c>
      <c r="AS30" s="624" t="str">
        <f>IF(J29&lt;&gt;"",IF(OR(WEEKDAY(DATE($A29,$B29,J29),2)&gt;6,COUNTIF('休日情報(要更新)'!$A$5:$J$32,DATE($A29,$B29,J29)) &gt;=1),"○",IF(WEEKDAY(DATE($A29,$B29,J29),2)=6,"●","")),"×")</f>
        <v/>
      </c>
      <c r="AT30" s="624" t="str">
        <f>IF(K29&lt;&gt;"",IF(OR(WEEKDAY(DATE($A29,$B29,K29),2)&gt;6,COUNTIF('休日情報(要更新)'!$A$5:$J$32,DATE($A29,$B29,K29)) &gt;=1),"○",IF(WEEKDAY(DATE($A29,$B29,K29),2)=6,"●","")),"×")</f>
        <v/>
      </c>
      <c r="AU30" s="624" t="str">
        <f>IF(L29&lt;&gt;"",IF(OR(WEEKDAY(DATE($A29,$B29,L29),2)&gt;6,COUNTIF('休日情報(要更新)'!$A$5:$J$32,DATE($A29,$B29,L29)) &gt;=1),"○",IF(WEEKDAY(DATE($A29,$B29,L29),2)=6,"●","")),"×")</f>
        <v/>
      </c>
      <c r="AV30" s="624" t="str">
        <f>IF(M29&lt;&gt;"",IF(OR(WEEKDAY(DATE($A29,$B29,M29),2)&gt;6,COUNTIF('休日情報(要更新)'!$A$5:$J$32,DATE($A29,$B29,M29)) &gt;=1),"○",IF(WEEKDAY(DATE($A29,$B29,M29),2)=6,"●","")),"×")</f>
        <v>●</v>
      </c>
      <c r="AW30" s="624" t="str">
        <f>IF(N29&lt;&gt;"",IF(OR(WEEKDAY(DATE($A29,$B29,N29),2)&gt;6,COUNTIF('休日情報(要更新)'!$A$5:$J$32,DATE($A29,$B29,N29)) &gt;=1),"○",IF(WEEKDAY(DATE($A29,$B29,N29),2)=6,"●","")),"×")</f>
        <v>○</v>
      </c>
      <c r="AX30" s="624" t="str">
        <f>IF(O29&lt;&gt;"",IF(OR(WEEKDAY(DATE($A29,$B29,O29),2)&gt;6,COUNTIF('休日情報(要更新)'!$A$5:$J$32,DATE($A29,$B29,O29)) &gt;=1),"○",IF(WEEKDAY(DATE($A29,$B29,O29),2)=6,"●","")),"×")</f>
        <v>○</v>
      </c>
      <c r="AY30" s="624" t="str">
        <f>IF(P29&lt;&gt;"",IF(OR(WEEKDAY(DATE($A29,$B29,P29),2)&gt;6,COUNTIF('休日情報(要更新)'!$A$5:$J$32,DATE($A29,$B29,P29)) &gt;=1),"○",IF(WEEKDAY(DATE($A29,$B29,P29),2)=6,"●","")),"×")</f>
        <v/>
      </c>
      <c r="AZ30" s="624" t="str">
        <f>IF(Q29&lt;&gt;"",IF(OR(WEEKDAY(DATE($A29,$B29,Q29),2)&gt;6,COUNTIF('休日情報(要更新)'!$A$5:$J$32,DATE($A29,$B29,Q29)) &gt;=1),"○",IF(WEEKDAY(DATE($A29,$B29,Q29),2)=6,"●","")),"×")</f>
        <v/>
      </c>
      <c r="BA30" s="624" t="str">
        <f>IF(R29&lt;&gt;"",IF(OR(WEEKDAY(DATE($A29,$B29,R29),2)&gt;6,COUNTIF('休日情報(要更新)'!$A$5:$J$32,DATE($A29,$B29,R29)) &gt;=1),"○",IF(WEEKDAY(DATE($A29,$B29,R29),2)=6,"●","")),"×")</f>
        <v/>
      </c>
      <c r="BB30" s="624" t="str">
        <f>IF(S29&lt;&gt;"",IF(OR(WEEKDAY(DATE($A29,$B29,S29),2)&gt;6,COUNTIF('休日情報(要更新)'!$A$5:$J$32,DATE($A29,$B29,S29)) &gt;=1),"○",IF(WEEKDAY(DATE($A29,$B29,S29),2)=6,"●","")),"×")</f>
        <v/>
      </c>
      <c r="BC30" s="624" t="str">
        <f>IF(T29&lt;&gt;"",IF(OR(WEEKDAY(DATE($A29,$B29,T29),2)&gt;6,COUNTIF('休日情報(要更新)'!$A$5:$J$32,DATE($A29,$B29,T29)) &gt;=1),"○",IF(WEEKDAY(DATE($A29,$B29,T29),2)=6,"●","")),"×")</f>
        <v>●</v>
      </c>
      <c r="BD30" s="624" t="str">
        <f>IF(U29&lt;&gt;"",IF(OR(WEEKDAY(DATE($A29,$B29,U29),2)&gt;6,COUNTIF('休日情報(要更新)'!$A$5:$J$32,DATE($A29,$B29,U29)) &gt;=1),"○",IF(WEEKDAY(DATE($A29,$B29,U29),2)=6,"●","")),"×")</f>
        <v>○</v>
      </c>
      <c r="BE30" s="624" t="str">
        <f>IF(V29&lt;&gt;"",IF(OR(WEEKDAY(DATE($A29,$B29,V29),2)&gt;6,COUNTIF('休日情報(要更新)'!$A$5:$J$32,DATE($A29,$B29,V29)) &gt;=1),"○",IF(WEEKDAY(DATE($A29,$B29,V29),2)=6,"●","")),"×")</f>
        <v/>
      </c>
      <c r="BF30" s="624" t="str">
        <f>IF(W29&lt;&gt;"",IF(OR(WEEKDAY(DATE($A29,$B29,W29),2)&gt;6,COUNTIF('休日情報(要更新)'!$A$5:$J$32,DATE($A29,$B29,W29)) &gt;=1),"○",IF(WEEKDAY(DATE($A29,$B29,W29),2)=6,"●","")),"×")</f>
        <v/>
      </c>
      <c r="BG30" s="624" t="str">
        <f>IF(X29&lt;&gt;"",IF(OR(WEEKDAY(DATE($A29,$B29,X29),2)&gt;6,COUNTIF('休日情報(要更新)'!$A$5:$J$32,DATE($A29,$B29,X29)) &gt;=1),"○",IF(WEEKDAY(DATE($A29,$B29,X29),2)=6,"●","")),"×")</f>
        <v/>
      </c>
      <c r="BH30" s="624" t="str">
        <f>IF(Y29&lt;&gt;"",IF(OR(WEEKDAY(DATE($A29,$B29,Y29),2)&gt;6,COUNTIF('休日情報(要更新)'!$A$5:$J$32,DATE($A29,$B29,Y29)) &gt;=1),"○",IF(WEEKDAY(DATE($A29,$B29,Y29),2)=6,"●","")),"×")</f>
        <v/>
      </c>
      <c r="BI30" s="624" t="str">
        <f>IF(Z29&lt;&gt;"",IF(OR(WEEKDAY(DATE($A29,$B29,Z29),2)&gt;6,COUNTIF('休日情報(要更新)'!$A$5:$J$32,DATE($A29,$B29,Z29)) &gt;=1),"○",IF(WEEKDAY(DATE($A29,$B29,Z29),2)=6,"●","")),"×")</f>
        <v/>
      </c>
      <c r="BJ30" s="624" t="str">
        <f>IF(AA29&lt;&gt;"",IF(OR(WEEKDAY(DATE($A29,$B29,AA29),2)&gt;6,COUNTIF('休日情報(要更新)'!$A$5:$J$32,DATE($A29,$B29,AA29)) &gt;=1),"○",IF(WEEKDAY(DATE($A29,$B29,AA29),2)=6,"●","")),"×")</f>
        <v>●</v>
      </c>
      <c r="BK30" s="624" t="str">
        <f>IF(AB29&lt;&gt;"",IF(OR(WEEKDAY(DATE($A29,$B29,AB29),2)&gt;6,COUNTIF('休日情報(要更新)'!$A$5:$J$32,DATE($A29,$B29,AB29)) &gt;=1),"○",IF(WEEKDAY(DATE($A29,$B29,AB29),2)=6,"●","")),"×")</f>
        <v>○</v>
      </c>
      <c r="BL30" s="624" t="str">
        <f>IF(AC29&lt;&gt;"",IF(OR(WEEKDAY(DATE($A29,$B29,AC29),2)&gt;6,COUNTIF('休日情報(要更新)'!$A$5:$J$32,DATE($A29,$B29,AC29)) &gt;=1),"○",IF(WEEKDAY(DATE($A29,$B29,AC29),2)=6,"●","")),"×")</f>
        <v/>
      </c>
      <c r="BM30" s="624" t="str">
        <f>IF(AD29&lt;&gt;"",IF(OR(WEEKDAY(DATE($A29,$B29,AD29),2)&gt;6,COUNTIF('休日情報(要更新)'!$A$5:$J$32,DATE($A29,$B29,AD29)) &gt;=1),"○",IF(WEEKDAY(DATE($A29,$B29,AD29),2)=6,"●","")),"×")</f>
        <v/>
      </c>
      <c r="BN30" s="624" t="str">
        <f>IF(AE29&lt;&gt;"",IF(OR(WEEKDAY(DATE($A29,$B29,AE29),2)&gt;6,COUNTIF('休日情報(要更新)'!$A$5:$J$32,DATE($A29,$B29,AE29)) &gt;=1),"○",IF(WEEKDAY(DATE($A29,$B29,AE29),2)=6,"●","")),"×")</f>
        <v/>
      </c>
      <c r="BO30" s="624" t="str">
        <f>IF(AF29&lt;&gt;"",IF(OR(WEEKDAY(DATE($A29,$B29,AF29),2)&gt;6,COUNTIF('休日情報(要更新)'!$A$5:$J$32,DATE($A29,$B29,AF29)) &gt;=1),"○",IF(WEEKDAY(DATE($A29,$B29,AF29),2)=6,"●","")),"×")</f>
        <v/>
      </c>
      <c r="BP30" s="624" t="str">
        <f>IF(AG29&lt;&gt;"",IF(OR(WEEKDAY(DATE($A29,$B29,AG29),2)&gt;6,COUNTIF('休日情報(要更新)'!$A$5:$J$32,DATE($A29,$B29,AG29)) &gt;=1),"○",IF(WEEKDAY(DATE($A29,$B29,AG29),2)=6,"●","")),"×")</f>
        <v/>
      </c>
      <c r="BQ30" s="624" t="str">
        <f>IF(AH29&lt;&gt;"",IF(OR(WEEKDAY(DATE($A29,$B29,AH29),2)&gt;6,COUNTIF('休日情報(要更新)'!$A$5:$J$32,DATE($A29,$B29,AH29)) &gt;=1),"○",IF(WEEKDAY(DATE($A29,$B29,AH29),2)=6,"●","")),"×")</f>
        <v>●</v>
      </c>
      <c r="BR30" s="624" t="str">
        <f>IF(AI29&lt;&gt;"",IF(OR(WEEKDAY(DATE($A29,$B29,AI29),2)&gt;6,COUNTIF('休日情報(要更新)'!$A$5:$J$32,DATE($A29,$B29,AI29)) &gt;=1),"○",IF(WEEKDAY(DATE($A29,$B29,AI29),2)=6,"●","")),"×")</f>
        <v>○</v>
      </c>
    </row>
    <row r="31" spans="1:70" ht="12" customHeight="1">
      <c r="A31" s="2361"/>
      <c r="B31" s="2363"/>
      <c r="C31" s="2370"/>
      <c r="D31" s="626" t="s">
        <v>653</v>
      </c>
      <c r="E31" s="627"/>
      <c r="F31" s="628"/>
      <c r="G31" s="628"/>
      <c r="H31" s="628"/>
      <c r="I31" s="628"/>
      <c r="J31" s="628"/>
      <c r="K31" s="628"/>
      <c r="L31" s="628"/>
      <c r="M31" s="628"/>
      <c r="N31" s="628"/>
      <c r="O31" s="628"/>
      <c r="P31" s="628"/>
      <c r="Q31" s="628"/>
      <c r="R31" s="628"/>
      <c r="S31" s="628"/>
      <c r="T31" s="628"/>
      <c r="U31" s="628"/>
      <c r="V31" s="628"/>
      <c r="W31" s="628"/>
      <c r="X31" s="628"/>
      <c r="Y31" s="628"/>
      <c r="Z31" s="628"/>
      <c r="AA31" s="628"/>
      <c r="AB31" s="628"/>
      <c r="AC31" s="628"/>
      <c r="AD31" s="628"/>
      <c r="AE31" s="628"/>
      <c r="AF31" s="628"/>
      <c r="AG31" s="628"/>
      <c r="AH31" s="628"/>
      <c r="AI31" s="629"/>
      <c r="AJ31" s="630">
        <f>COUNTIFS(AN30:BR30,"",E31:AI31,"○")</f>
        <v>0</v>
      </c>
      <c r="AK31" s="631"/>
    </row>
    <row r="32" spans="1:70" ht="12.75" customHeight="1">
      <c r="A32" s="2361"/>
      <c r="B32" s="2363"/>
      <c r="C32" s="2371"/>
      <c r="D32" s="821" t="s">
        <v>654</v>
      </c>
      <c r="E32" s="822"/>
      <c r="F32" s="823"/>
      <c r="G32" s="823"/>
      <c r="H32" s="823"/>
      <c r="I32" s="823"/>
      <c r="J32" s="823"/>
      <c r="K32" s="823"/>
      <c r="L32" s="823"/>
      <c r="M32" s="823"/>
      <c r="N32" s="823"/>
      <c r="O32" s="823"/>
      <c r="P32" s="823"/>
      <c r="Q32" s="823"/>
      <c r="R32" s="823"/>
      <c r="S32" s="823"/>
      <c r="T32" s="823"/>
      <c r="U32" s="823"/>
      <c r="V32" s="823"/>
      <c r="W32" s="823"/>
      <c r="X32" s="823"/>
      <c r="Y32" s="823"/>
      <c r="Z32" s="823"/>
      <c r="AA32" s="823"/>
      <c r="AB32" s="823"/>
      <c r="AC32" s="823"/>
      <c r="AD32" s="823"/>
      <c r="AE32" s="823"/>
      <c r="AF32" s="823"/>
      <c r="AG32" s="823"/>
      <c r="AH32" s="823"/>
      <c r="AI32" s="824"/>
      <c r="AJ32" s="825">
        <f>COUNTIFS(E31:AI31,"○",AN30:BR30,"",E32:AI32,"○")</f>
        <v>0</v>
      </c>
    </row>
    <row r="33" spans="1:70" ht="12.75" customHeight="1">
      <c r="A33" s="955"/>
      <c r="B33" s="2364"/>
      <c r="C33" s="2372"/>
      <c r="D33" s="633" t="s">
        <v>1182</v>
      </c>
      <c r="E33" s="634"/>
      <c r="F33" s="635"/>
      <c r="G33" s="635"/>
      <c r="H33" s="635"/>
      <c r="I33" s="635"/>
      <c r="J33" s="635"/>
      <c r="K33" s="635"/>
      <c r="L33" s="635"/>
      <c r="M33" s="635"/>
      <c r="N33" s="635"/>
      <c r="O33" s="635"/>
      <c r="P33" s="635"/>
      <c r="Q33" s="635"/>
      <c r="R33" s="635"/>
      <c r="S33" s="635"/>
      <c r="T33" s="635"/>
      <c r="U33" s="635"/>
      <c r="V33" s="635"/>
      <c r="W33" s="635"/>
      <c r="X33" s="635"/>
      <c r="Y33" s="635"/>
      <c r="Z33" s="635"/>
      <c r="AA33" s="635"/>
      <c r="AB33" s="635"/>
      <c r="AC33" s="635"/>
      <c r="AD33" s="635"/>
      <c r="AE33" s="635"/>
      <c r="AF33" s="635"/>
      <c r="AG33" s="635"/>
      <c r="AH33" s="635"/>
      <c r="AI33" s="636"/>
      <c r="AJ33" s="637">
        <f>COUNTIFS(E31:AI31,"○",AN30:BR30,"",E32:AI32,"○",E33:AI33,"○")</f>
        <v>0</v>
      </c>
    </row>
    <row r="34" spans="1:70" ht="12" customHeight="1">
      <c r="A34" s="2361">
        <f>IF($AN$7=0,#REF!,$AN$7)+IF(AND($B34&gt;=1,$B34&lt;=3),1,0)</f>
        <v>2025</v>
      </c>
      <c r="B34" s="2374">
        <v>9</v>
      </c>
      <c r="C34" s="2372" t="s">
        <v>864</v>
      </c>
      <c r="D34" s="826" t="s">
        <v>643</v>
      </c>
      <c r="E34" s="827">
        <v>1</v>
      </c>
      <c r="F34" s="703">
        <v>2</v>
      </c>
      <c r="G34" s="703">
        <v>3</v>
      </c>
      <c r="H34" s="703">
        <v>4</v>
      </c>
      <c r="I34" s="703">
        <v>5</v>
      </c>
      <c r="J34" s="703">
        <v>6</v>
      </c>
      <c r="K34" s="703">
        <v>7</v>
      </c>
      <c r="L34" s="703">
        <v>8</v>
      </c>
      <c r="M34" s="703">
        <v>9</v>
      </c>
      <c r="N34" s="703">
        <v>10</v>
      </c>
      <c r="O34" s="703">
        <v>11</v>
      </c>
      <c r="P34" s="703">
        <v>12</v>
      </c>
      <c r="Q34" s="703">
        <v>13</v>
      </c>
      <c r="R34" s="703">
        <v>14</v>
      </c>
      <c r="S34" s="703">
        <v>15</v>
      </c>
      <c r="T34" s="703">
        <v>16</v>
      </c>
      <c r="U34" s="703">
        <v>17</v>
      </c>
      <c r="V34" s="703">
        <v>18</v>
      </c>
      <c r="W34" s="703">
        <v>19</v>
      </c>
      <c r="X34" s="703">
        <v>20</v>
      </c>
      <c r="Y34" s="703">
        <v>21</v>
      </c>
      <c r="Z34" s="703">
        <v>22</v>
      </c>
      <c r="AA34" s="703">
        <v>23</v>
      </c>
      <c r="AB34" s="703">
        <v>24</v>
      </c>
      <c r="AC34" s="703">
        <v>25</v>
      </c>
      <c r="AD34" s="703">
        <v>26</v>
      </c>
      <c r="AE34" s="703">
        <v>27</v>
      </c>
      <c r="AF34" s="703">
        <v>28</v>
      </c>
      <c r="AG34" s="703">
        <f>IF(MONTH(DATE($A34,B34,AF34+1))=B34,AF34+1,"")</f>
        <v>29</v>
      </c>
      <c r="AH34" s="703">
        <f t="shared" ref="AH34" si="13">IF(B34&lt;&gt;2,IF(AG34&lt;&gt;"",AG34+1,""),"")</f>
        <v>30</v>
      </c>
      <c r="AI34" s="704" t="str">
        <f t="shared" ref="AI34" si="14">IF(OR(B34=1,B34=3,B34=5,B34=7,B34=8,B34=10,B34=12),AH34+1,"")</f>
        <v/>
      </c>
      <c r="AJ34" s="2373" t="s">
        <v>22</v>
      </c>
      <c r="AK34" s="623"/>
      <c r="AL34" s="2369" t="s">
        <v>444</v>
      </c>
      <c r="AM34" s="2369"/>
      <c r="AN34" s="624">
        <v>1</v>
      </c>
      <c r="AO34" s="624">
        <v>2</v>
      </c>
      <c r="AP34" s="624">
        <v>3</v>
      </c>
      <c r="AQ34" s="624">
        <v>4</v>
      </c>
      <c r="AR34" s="624">
        <v>5</v>
      </c>
      <c r="AS34" s="624">
        <v>6</v>
      </c>
      <c r="AT34" s="624">
        <v>7</v>
      </c>
      <c r="AU34" s="624">
        <v>8</v>
      </c>
      <c r="AV34" s="624">
        <v>9</v>
      </c>
      <c r="AW34" s="624">
        <v>10</v>
      </c>
      <c r="AX34" s="624">
        <v>11</v>
      </c>
      <c r="AY34" s="624">
        <v>12</v>
      </c>
      <c r="AZ34" s="624">
        <v>13</v>
      </c>
      <c r="BA34" s="624">
        <v>14</v>
      </c>
      <c r="BB34" s="624">
        <v>15</v>
      </c>
      <c r="BC34" s="624">
        <v>16</v>
      </c>
      <c r="BD34" s="624">
        <v>17</v>
      </c>
      <c r="BE34" s="624">
        <v>18</v>
      </c>
      <c r="BF34" s="624">
        <v>19</v>
      </c>
      <c r="BG34" s="624">
        <v>20</v>
      </c>
      <c r="BH34" s="624">
        <v>21</v>
      </c>
      <c r="BI34" s="624">
        <v>22</v>
      </c>
      <c r="BJ34" s="624">
        <v>23</v>
      </c>
      <c r="BK34" s="624">
        <v>24</v>
      </c>
      <c r="BL34" s="624">
        <v>25</v>
      </c>
      <c r="BM34" s="624">
        <v>26</v>
      </c>
      <c r="BN34" s="624">
        <v>27</v>
      </c>
      <c r="BO34" s="624">
        <v>28</v>
      </c>
      <c r="BP34" s="624">
        <v>29</v>
      </c>
      <c r="BQ34" s="624">
        <v>30</v>
      </c>
      <c r="BR34" s="624">
        <v>31</v>
      </c>
    </row>
    <row r="35" spans="1:70" ht="12" customHeight="1">
      <c r="A35" s="2361"/>
      <c r="B35" s="2363"/>
      <c r="C35" s="2366"/>
      <c r="D35" s="625" t="s">
        <v>445</v>
      </c>
      <c r="E35" s="966" t="str">
        <f t="shared" ref="E35:AI35" si="15">IF(E34&lt;&gt;"",HLOOKUP(WEEKDAY(DATE($A34,$B34,E34)),$AP$1:$AV$2,2,FALSE),"")</f>
        <v>（月）</v>
      </c>
      <c r="F35" s="964" t="str">
        <f t="shared" si="15"/>
        <v>（火）</v>
      </c>
      <c r="G35" s="964" t="str">
        <f t="shared" si="15"/>
        <v>（水）</v>
      </c>
      <c r="H35" s="964" t="str">
        <f t="shared" si="15"/>
        <v>（木）</v>
      </c>
      <c r="I35" s="964" t="str">
        <f t="shared" si="15"/>
        <v>（金）</v>
      </c>
      <c r="J35" s="964" t="str">
        <f t="shared" si="15"/>
        <v>（土）</v>
      </c>
      <c r="K35" s="964" t="str">
        <f t="shared" si="15"/>
        <v>（日）</v>
      </c>
      <c r="L35" s="964" t="str">
        <f t="shared" si="15"/>
        <v>（月）</v>
      </c>
      <c r="M35" s="964" t="str">
        <f t="shared" si="15"/>
        <v>（火）</v>
      </c>
      <c r="N35" s="964" t="str">
        <f t="shared" si="15"/>
        <v>（水）</v>
      </c>
      <c r="O35" s="964" t="str">
        <f t="shared" si="15"/>
        <v>（木）</v>
      </c>
      <c r="P35" s="964" t="str">
        <f t="shared" si="15"/>
        <v>（金）</v>
      </c>
      <c r="Q35" s="964" t="str">
        <f t="shared" si="15"/>
        <v>（土）</v>
      </c>
      <c r="R35" s="964" t="str">
        <f t="shared" si="15"/>
        <v>（日）</v>
      </c>
      <c r="S35" s="964" t="str">
        <f t="shared" si="15"/>
        <v>（月）</v>
      </c>
      <c r="T35" s="964" t="str">
        <f t="shared" si="15"/>
        <v>（火）</v>
      </c>
      <c r="U35" s="964" t="str">
        <f t="shared" si="15"/>
        <v>（水）</v>
      </c>
      <c r="V35" s="964" t="str">
        <f t="shared" si="15"/>
        <v>（木）</v>
      </c>
      <c r="W35" s="964" t="str">
        <f t="shared" si="15"/>
        <v>（金）</v>
      </c>
      <c r="X35" s="964" t="str">
        <f t="shared" si="15"/>
        <v>（土）</v>
      </c>
      <c r="Y35" s="964" t="str">
        <f t="shared" si="15"/>
        <v>（日）</v>
      </c>
      <c r="Z35" s="964" t="str">
        <f t="shared" si="15"/>
        <v>（月）</v>
      </c>
      <c r="AA35" s="964" t="str">
        <f t="shared" si="15"/>
        <v>（火）</v>
      </c>
      <c r="AB35" s="964" t="str">
        <f t="shared" si="15"/>
        <v>（水）</v>
      </c>
      <c r="AC35" s="964" t="str">
        <f t="shared" si="15"/>
        <v>（木）</v>
      </c>
      <c r="AD35" s="964" t="str">
        <f t="shared" si="15"/>
        <v>（金）</v>
      </c>
      <c r="AE35" s="964" t="str">
        <f t="shared" si="15"/>
        <v>（土）</v>
      </c>
      <c r="AF35" s="964" t="str">
        <f t="shared" si="15"/>
        <v>（日）</v>
      </c>
      <c r="AG35" s="964" t="str">
        <f t="shared" si="15"/>
        <v>（月）</v>
      </c>
      <c r="AH35" s="964" t="str">
        <f t="shared" si="15"/>
        <v>（火）</v>
      </c>
      <c r="AI35" s="967" t="str">
        <f t="shared" si="15"/>
        <v/>
      </c>
      <c r="AJ35" s="2368"/>
      <c r="AK35" s="623"/>
      <c r="AL35" s="2369" t="s">
        <v>641</v>
      </c>
      <c r="AM35" s="2369"/>
      <c r="AN35" s="624" t="str">
        <f>IF(E34&lt;&gt;"",IF(OR(WEEKDAY(DATE($A34,$B34,E34),2)&gt;6,COUNTIF('休日情報(要更新)'!$A$5:$J$32,DATE($A34,$B34,E34)) &gt;=1),"○",IF(WEEKDAY(DATE($A34,$B34,E34),2)=6,"●","")),"×")</f>
        <v/>
      </c>
      <c r="AO35" s="624" t="str">
        <f>IF(F34&lt;&gt;"",IF(OR(WEEKDAY(DATE($A34,$B34,F34),2)&gt;6,COUNTIF('休日情報(要更新)'!$A$5:$J$32,DATE($A34,$B34,F34)) &gt;=1),"○",IF(WEEKDAY(DATE($A34,$B34,F34),2)=6,"●","")),"×")</f>
        <v/>
      </c>
      <c r="AP35" s="624" t="str">
        <f>IF(G34&lt;&gt;"",IF(OR(WEEKDAY(DATE($A34,$B34,G34),2)&gt;6,COUNTIF('休日情報(要更新)'!$A$5:$J$32,DATE($A34,$B34,G34)) &gt;=1),"○",IF(WEEKDAY(DATE($A34,$B34,G34),2)=6,"●","")),"×")</f>
        <v/>
      </c>
      <c r="AQ35" s="624" t="str">
        <f>IF(H34&lt;&gt;"",IF(OR(WEEKDAY(DATE($A34,$B34,H34),2)&gt;6,COUNTIF('休日情報(要更新)'!$A$5:$J$32,DATE($A34,$B34,H34)) &gt;=1),"○",IF(WEEKDAY(DATE($A34,$B34,H34),2)=6,"●","")),"×")</f>
        <v/>
      </c>
      <c r="AR35" s="624" t="str">
        <f>IF(I34&lt;&gt;"",IF(OR(WEEKDAY(DATE($A34,$B34,I34),2)&gt;6,COUNTIF('休日情報(要更新)'!$A$5:$J$32,DATE($A34,$B34,I34)) &gt;=1),"○",IF(WEEKDAY(DATE($A34,$B34,I34),2)=6,"●","")),"×")</f>
        <v/>
      </c>
      <c r="AS35" s="624" t="str">
        <f>IF(J34&lt;&gt;"",IF(OR(WEEKDAY(DATE($A34,$B34,J34),2)&gt;6,COUNTIF('休日情報(要更新)'!$A$5:$J$32,DATE($A34,$B34,J34)) &gt;=1),"○",IF(WEEKDAY(DATE($A34,$B34,J34),2)=6,"●","")),"×")</f>
        <v>●</v>
      </c>
      <c r="AT35" s="624" t="str">
        <f>IF(K34&lt;&gt;"",IF(OR(WEEKDAY(DATE($A34,$B34,K34),2)&gt;6,COUNTIF('休日情報(要更新)'!$A$5:$J$32,DATE($A34,$B34,K34)) &gt;=1),"○",IF(WEEKDAY(DATE($A34,$B34,K34),2)=6,"●","")),"×")</f>
        <v>○</v>
      </c>
      <c r="AU35" s="624" t="str">
        <f>IF(L34&lt;&gt;"",IF(OR(WEEKDAY(DATE($A34,$B34,L34),2)&gt;6,COUNTIF('休日情報(要更新)'!$A$5:$J$32,DATE($A34,$B34,L34)) &gt;=1),"○",IF(WEEKDAY(DATE($A34,$B34,L34),2)=6,"●","")),"×")</f>
        <v/>
      </c>
      <c r="AV35" s="624" t="str">
        <f>IF(M34&lt;&gt;"",IF(OR(WEEKDAY(DATE($A34,$B34,M34),2)&gt;6,COUNTIF('休日情報(要更新)'!$A$5:$J$32,DATE($A34,$B34,M34)) &gt;=1),"○",IF(WEEKDAY(DATE($A34,$B34,M34),2)=6,"●","")),"×")</f>
        <v/>
      </c>
      <c r="AW35" s="624" t="str">
        <f>IF(N34&lt;&gt;"",IF(OR(WEEKDAY(DATE($A34,$B34,N34),2)&gt;6,COUNTIF('休日情報(要更新)'!$A$5:$J$32,DATE($A34,$B34,N34)) &gt;=1),"○",IF(WEEKDAY(DATE($A34,$B34,N34),2)=6,"●","")),"×")</f>
        <v/>
      </c>
      <c r="AX35" s="624" t="str">
        <f>IF(O34&lt;&gt;"",IF(OR(WEEKDAY(DATE($A34,$B34,O34),2)&gt;6,COUNTIF('休日情報(要更新)'!$A$5:$J$32,DATE($A34,$B34,O34)) &gt;=1),"○",IF(WEEKDAY(DATE($A34,$B34,O34),2)=6,"●","")),"×")</f>
        <v/>
      </c>
      <c r="AY35" s="624" t="str">
        <f>IF(P34&lt;&gt;"",IF(OR(WEEKDAY(DATE($A34,$B34,P34),2)&gt;6,COUNTIF('休日情報(要更新)'!$A$5:$J$32,DATE($A34,$B34,P34)) &gt;=1),"○",IF(WEEKDAY(DATE($A34,$B34,P34),2)=6,"●","")),"×")</f>
        <v/>
      </c>
      <c r="AZ35" s="624" t="str">
        <f>IF(Q34&lt;&gt;"",IF(OR(WEEKDAY(DATE($A34,$B34,Q34),2)&gt;6,COUNTIF('休日情報(要更新)'!$A$5:$J$32,DATE($A34,$B34,Q34)) &gt;=1),"○",IF(WEEKDAY(DATE($A34,$B34,Q34),2)=6,"●","")),"×")</f>
        <v>●</v>
      </c>
      <c r="BA35" s="624" t="str">
        <f>IF(R34&lt;&gt;"",IF(OR(WEEKDAY(DATE($A34,$B34,R34),2)&gt;6,COUNTIF('休日情報(要更新)'!$A$5:$J$32,DATE($A34,$B34,R34)) &gt;=1),"○",IF(WEEKDAY(DATE($A34,$B34,R34),2)=6,"●","")),"×")</f>
        <v>○</v>
      </c>
      <c r="BB35" s="624" t="str">
        <f>IF(S34&lt;&gt;"",IF(OR(WEEKDAY(DATE($A34,$B34,S34),2)&gt;6,COUNTIF('休日情報(要更新)'!$A$5:$J$32,DATE($A34,$B34,S34)) &gt;=1),"○",IF(WEEKDAY(DATE($A34,$B34,S34),2)=6,"●","")),"×")</f>
        <v>○</v>
      </c>
      <c r="BC35" s="624" t="str">
        <f>IF(T34&lt;&gt;"",IF(OR(WEEKDAY(DATE($A34,$B34,T34),2)&gt;6,COUNTIF('休日情報(要更新)'!$A$5:$J$32,DATE($A34,$B34,T34)) &gt;=1),"○",IF(WEEKDAY(DATE($A34,$B34,T34),2)=6,"●","")),"×")</f>
        <v/>
      </c>
      <c r="BD35" s="624" t="str">
        <f>IF(U34&lt;&gt;"",IF(OR(WEEKDAY(DATE($A34,$B34,U34),2)&gt;6,COUNTIF('休日情報(要更新)'!$A$5:$J$32,DATE($A34,$B34,U34)) &gt;=1),"○",IF(WEEKDAY(DATE($A34,$B34,U34),2)=6,"●","")),"×")</f>
        <v/>
      </c>
      <c r="BE35" s="624" t="str">
        <f>IF(V34&lt;&gt;"",IF(OR(WEEKDAY(DATE($A34,$B34,V34),2)&gt;6,COUNTIF('休日情報(要更新)'!$A$5:$J$32,DATE($A34,$B34,V34)) &gt;=1),"○",IF(WEEKDAY(DATE($A34,$B34,V34),2)=6,"●","")),"×")</f>
        <v/>
      </c>
      <c r="BF35" s="624" t="str">
        <f>IF(W34&lt;&gt;"",IF(OR(WEEKDAY(DATE($A34,$B34,W34),2)&gt;6,COUNTIF('休日情報(要更新)'!$A$5:$J$32,DATE($A34,$B34,W34)) &gt;=1),"○",IF(WEEKDAY(DATE($A34,$B34,W34),2)=6,"●","")),"×")</f>
        <v/>
      </c>
      <c r="BG35" s="624" t="str">
        <f>IF(X34&lt;&gt;"",IF(OR(WEEKDAY(DATE($A34,$B34,X34),2)&gt;6,COUNTIF('休日情報(要更新)'!$A$5:$J$32,DATE($A34,$B34,X34)) &gt;=1),"○",IF(WEEKDAY(DATE($A34,$B34,X34),2)=6,"●","")),"×")</f>
        <v>●</v>
      </c>
      <c r="BH35" s="624" t="str">
        <f>IF(Y34&lt;&gt;"",IF(OR(WEEKDAY(DATE($A34,$B34,Y34),2)&gt;6,COUNTIF('休日情報(要更新)'!$A$5:$J$32,DATE($A34,$B34,Y34)) &gt;=1),"○",IF(WEEKDAY(DATE($A34,$B34,Y34),2)=6,"●","")),"×")</f>
        <v>○</v>
      </c>
      <c r="BI35" s="624" t="str">
        <f>IF(Z34&lt;&gt;"",IF(OR(WEEKDAY(DATE($A34,$B34,Z34),2)&gt;6,COUNTIF('休日情報(要更新)'!$A$5:$J$32,DATE($A34,$B34,Z34)) &gt;=1),"○",IF(WEEKDAY(DATE($A34,$B34,Z34),2)=6,"●","")),"×")</f>
        <v/>
      </c>
      <c r="BJ35" s="624" t="str">
        <f>IF(AA34&lt;&gt;"",IF(OR(WEEKDAY(DATE($A34,$B34,AA34),2)&gt;6,COUNTIF('休日情報(要更新)'!$A$5:$J$32,DATE($A34,$B34,AA34)) &gt;=1),"○",IF(WEEKDAY(DATE($A34,$B34,AA34),2)=6,"●","")),"×")</f>
        <v>○</v>
      </c>
      <c r="BK35" s="624" t="str">
        <f>IF(AB34&lt;&gt;"",IF(OR(WEEKDAY(DATE($A34,$B34,AB34),2)&gt;6,COUNTIF('休日情報(要更新)'!$A$5:$J$32,DATE($A34,$B34,AB34)) &gt;=1),"○",IF(WEEKDAY(DATE($A34,$B34,AB34),2)=6,"●","")),"×")</f>
        <v/>
      </c>
      <c r="BL35" s="624" t="str">
        <f>IF(AC34&lt;&gt;"",IF(OR(WEEKDAY(DATE($A34,$B34,AC34),2)&gt;6,COUNTIF('休日情報(要更新)'!$A$5:$J$32,DATE($A34,$B34,AC34)) &gt;=1),"○",IF(WEEKDAY(DATE($A34,$B34,AC34),2)=6,"●","")),"×")</f>
        <v/>
      </c>
      <c r="BM35" s="624" t="str">
        <f>IF(AD34&lt;&gt;"",IF(OR(WEEKDAY(DATE($A34,$B34,AD34),2)&gt;6,COUNTIF('休日情報(要更新)'!$A$5:$J$32,DATE($A34,$B34,AD34)) &gt;=1),"○",IF(WEEKDAY(DATE($A34,$B34,AD34),2)=6,"●","")),"×")</f>
        <v/>
      </c>
      <c r="BN35" s="624" t="str">
        <f>IF(AE34&lt;&gt;"",IF(OR(WEEKDAY(DATE($A34,$B34,AE34),2)&gt;6,COUNTIF('休日情報(要更新)'!$A$5:$J$32,DATE($A34,$B34,AE34)) &gt;=1),"○",IF(WEEKDAY(DATE($A34,$B34,AE34),2)=6,"●","")),"×")</f>
        <v>●</v>
      </c>
      <c r="BO35" s="624" t="str">
        <f>IF(AF34&lt;&gt;"",IF(OR(WEEKDAY(DATE($A34,$B34,AF34),2)&gt;6,COUNTIF('休日情報(要更新)'!$A$5:$J$32,DATE($A34,$B34,AF34)) &gt;=1),"○",IF(WEEKDAY(DATE($A34,$B34,AF34),2)=6,"●","")),"×")</f>
        <v>○</v>
      </c>
      <c r="BP35" s="624" t="str">
        <f>IF(AG34&lt;&gt;"",IF(OR(WEEKDAY(DATE($A34,$B34,AG34),2)&gt;6,COUNTIF('休日情報(要更新)'!$A$5:$J$32,DATE($A34,$B34,AG34)) &gt;=1),"○",IF(WEEKDAY(DATE($A34,$B34,AG34),2)=6,"●","")),"×")</f>
        <v/>
      </c>
      <c r="BQ35" s="624" t="str">
        <f>IF(AH34&lt;&gt;"",IF(OR(WEEKDAY(DATE($A34,$B34,AH34),2)&gt;6,COUNTIF('休日情報(要更新)'!$A$5:$J$32,DATE($A34,$B34,AH34)) &gt;=1),"○",IF(WEEKDAY(DATE($A34,$B34,AH34),2)=6,"●","")),"×")</f>
        <v/>
      </c>
      <c r="BR35" s="624" t="str">
        <f>IF(AI34&lt;&gt;"",IF(OR(WEEKDAY(DATE($A34,$B34,AI34),2)&gt;6,COUNTIF('休日情報(要更新)'!$A$5:$J$32,DATE($A34,$B34,AI34)) &gt;=1),"○",IF(WEEKDAY(DATE($A34,$B34,AI34),2)=6,"●","")),"×")</f>
        <v>×</v>
      </c>
    </row>
    <row r="36" spans="1:70" ht="12" customHeight="1">
      <c r="A36" s="2361"/>
      <c r="B36" s="2363"/>
      <c r="C36" s="2370"/>
      <c r="D36" s="626" t="s">
        <v>653</v>
      </c>
      <c r="E36" s="627"/>
      <c r="F36" s="628"/>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c r="AG36" s="628"/>
      <c r="AH36" s="628"/>
      <c r="AI36" s="629"/>
      <c r="AJ36" s="630">
        <f>COUNTIFS(AN35:BR35,"",E36:AI36,"○")</f>
        <v>0</v>
      </c>
      <c r="AK36" s="631"/>
    </row>
    <row r="37" spans="1:70" ht="12.75" customHeight="1">
      <c r="A37" s="2361"/>
      <c r="B37" s="2363"/>
      <c r="C37" s="2371"/>
      <c r="D37" s="821" t="s">
        <v>654</v>
      </c>
      <c r="E37" s="822"/>
      <c r="F37" s="823"/>
      <c r="G37" s="823"/>
      <c r="H37" s="823"/>
      <c r="I37" s="823"/>
      <c r="J37" s="823"/>
      <c r="K37" s="823"/>
      <c r="L37" s="823"/>
      <c r="M37" s="823"/>
      <c r="N37" s="823"/>
      <c r="O37" s="823"/>
      <c r="P37" s="823"/>
      <c r="Q37" s="823"/>
      <c r="R37" s="823"/>
      <c r="S37" s="823"/>
      <c r="T37" s="823"/>
      <c r="U37" s="823"/>
      <c r="V37" s="823"/>
      <c r="W37" s="823"/>
      <c r="X37" s="823"/>
      <c r="Y37" s="823"/>
      <c r="Z37" s="823"/>
      <c r="AA37" s="823"/>
      <c r="AB37" s="823"/>
      <c r="AC37" s="823"/>
      <c r="AD37" s="823"/>
      <c r="AE37" s="823"/>
      <c r="AF37" s="823"/>
      <c r="AG37" s="823"/>
      <c r="AH37" s="823"/>
      <c r="AI37" s="824"/>
      <c r="AJ37" s="825">
        <f>COUNTIFS(E36:AI36,"○",AN35:BR35,"",E37:AI37,"○")</f>
        <v>0</v>
      </c>
    </row>
    <row r="38" spans="1:70" ht="12.75" customHeight="1">
      <c r="A38" s="955"/>
      <c r="B38" s="2364"/>
      <c r="C38" s="2372"/>
      <c r="D38" s="633" t="s">
        <v>1182</v>
      </c>
      <c r="E38" s="634"/>
      <c r="F38" s="635"/>
      <c r="G38" s="635"/>
      <c r="H38" s="635"/>
      <c r="I38" s="635"/>
      <c r="J38" s="635"/>
      <c r="K38" s="635"/>
      <c r="L38" s="635"/>
      <c r="M38" s="635"/>
      <c r="N38" s="635"/>
      <c r="O38" s="635"/>
      <c r="P38" s="635"/>
      <c r="Q38" s="635"/>
      <c r="R38" s="635"/>
      <c r="S38" s="635"/>
      <c r="T38" s="635"/>
      <c r="U38" s="635"/>
      <c r="V38" s="635"/>
      <c r="W38" s="635"/>
      <c r="X38" s="635"/>
      <c r="Y38" s="635"/>
      <c r="Z38" s="635"/>
      <c r="AA38" s="635"/>
      <c r="AB38" s="635"/>
      <c r="AC38" s="635"/>
      <c r="AD38" s="635"/>
      <c r="AE38" s="635"/>
      <c r="AF38" s="635"/>
      <c r="AG38" s="635"/>
      <c r="AH38" s="635"/>
      <c r="AI38" s="636"/>
      <c r="AJ38" s="637">
        <f>COUNTIFS(E36:AI36,"○",AN35:BR35,"",E37:AI37,"○",E38:AI38,"○")</f>
        <v>0</v>
      </c>
    </row>
    <row r="39" spans="1:70" ht="12" customHeight="1">
      <c r="A39" s="2361">
        <f>IF($AN$7=0,#REF!,$AN$7)+IF(AND($B39&gt;=1,$B39&lt;=3),1,0)</f>
        <v>2025</v>
      </c>
      <c r="B39" s="2374">
        <v>10</v>
      </c>
      <c r="C39" s="2372" t="s">
        <v>864</v>
      </c>
      <c r="D39" s="826" t="s">
        <v>643</v>
      </c>
      <c r="E39" s="827">
        <v>1</v>
      </c>
      <c r="F39" s="703">
        <v>2</v>
      </c>
      <c r="G39" s="703">
        <v>3</v>
      </c>
      <c r="H39" s="703">
        <v>4</v>
      </c>
      <c r="I39" s="703">
        <v>5</v>
      </c>
      <c r="J39" s="703">
        <v>6</v>
      </c>
      <c r="K39" s="703">
        <v>7</v>
      </c>
      <c r="L39" s="703">
        <v>8</v>
      </c>
      <c r="M39" s="703">
        <v>9</v>
      </c>
      <c r="N39" s="703">
        <v>10</v>
      </c>
      <c r="O39" s="703">
        <v>11</v>
      </c>
      <c r="P39" s="703">
        <v>12</v>
      </c>
      <c r="Q39" s="703">
        <v>13</v>
      </c>
      <c r="R39" s="703">
        <v>14</v>
      </c>
      <c r="S39" s="703">
        <v>15</v>
      </c>
      <c r="T39" s="703">
        <v>16</v>
      </c>
      <c r="U39" s="703">
        <v>17</v>
      </c>
      <c r="V39" s="703">
        <v>18</v>
      </c>
      <c r="W39" s="703">
        <v>19</v>
      </c>
      <c r="X39" s="703">
        <v>20</v>
      </c>
      <c r="Y39" s="703">
        <v>21</v>
      </c>
      <c r="Z39" s="703">
        <v>22</v>
      </c>
      <c r="AA39" s="703">
        <v>23</v>
      </c>
      <c r="AB39" s="703">
        <v>24</v>
      </c>
      <c r="AC39" s="703">
        <v>25</v>
      </c>
      <c r="AD39" s="703">
        <v>26</v>
      </c>
      <c r="AE39" s="703">
        <v>27</v>
      </c>
      <c r="AF39" s="703">
        <v>28</v>
      </c>
      <c r="AG39" s="703">
        <f>IF(MONTH(DATE($A39,B39,AF39+1))=B39,AF39+1,"")</f>
        <v>29</v>
      </c>
      <c r="AH39" s="703">
        <f t="shared" ref="AH39" si="16">IF(B39&lt;&gt;2,IF(AG39&lt;&gt;"",AG39+1,""),"")</f>
        <v>30</v>
      </c>
      <c r="AI39" s="704">
        <f t="shared" ref="AI39" si="17">IF(OR(B39=1,B39=3,B39=5,B39=7,B39=8,B39=10,B39=12),AH39+1,"")</f>
        <v>31</v>
      </c>
      <c r="AJ39" s="2373" t="s">
        <v>22</v>
      </c>
      <c r="AK39" s="623"/>
      <c r="AL39" s="2369" t="s">
        <v>444</v>
      </c>
      <c r="AM39" s="2369"/>
      <c r="AN39" s="624">
        <v>1</v>
      </c>
      <c r="AO39" s="624">
        <v>2</v>
      </c>
      <c r="AP39" s="624">
        <v>3</v>
      </c>
      <c r="AQ39" s="624">
        <v>4</v>
      </c>
      <c r="AR39" s="624">
        <v>5</v>
      </c>
      <c r="AS39" s="624">
        <v>6</v>
      </c>
      <c r="AT39" s="624">
        <v>7</v>
      </c>
      <c r="AU39" s="624">
        <v>8</v>
      </c>
      <c r="AV39" s="624">
        <v>9</v>
      </c>
      <c r="AW39" s="624">
        <v>10</v>
      </c>
      <c r="AX39" s="624">
        <v>11</v>
      </c>
      <c r="AY39" s="624">
        <v>12</v>
      </c>
      <c r="AZ39" s="624">
        <v>13</v>
      </c>
      <c r="BA39" s="624">
        <v>14</v>
      </c>
      <c r="BB39" s="624">
        <v>15</v>
      </c>
      <c r="BC39" s="624">
        <v>16</v>
      </c>
      <c r="BD39" s="624">
        <v>17</v>
      </c>
      <c r="BE39" s="624">
        <v>18</v>
      </c>
      <c r="BF39" s="624">
        <v>19</v>
      </c>
      <c r="BG39" s="624">
        <v>20</v>
      </c>
      <c r="BH39" s="624">
        <v>21</v>
      </c>
      <c r="BI39" s="624">
        <v>22</v>
      </c>
      <c r="BJ39" s="624">
        <v>23</v>
      </c>
      <c r="BK39" s="624">
        <v>24</v>
      </c>
      <c r="BL39" s="624">
        <v>25</v>
      </c>
      <c r="BM39" s="624">
        <v>26</v>
      </c>
      <c r="BN39" s="624">
        <v>27</v>
      </c>
      <c r="BO39" s="624">
        <v>28</v>
      </c>
      <c r="BP39" s="624">
        <v>29</v>
      </c>
      <c r="BQ39" s="624">
        <v>30</v>
      </c>
      <c r="BR39" s="624">
        <v>31</v>
      </c>
    </row>
    <row r="40" spans="1:70" ht="12" customHeight="1">
      <c r="A40" s="2361"/>
      <c r="B40" s="2363"/>
      <c r="C40" s="2366"/>
      <c r="D40" s="625" t="s">
        <v>445</v>
      </c>
      <c r="E40" s="966" t="str">
        <f t="shared" ref="E40:AI40" si="18">IF(E39&lt;&gt;"",HLOOKUP(WEEKDAY(DATE($A39,$B39,E39)),$AP$1:$AV$2,2,FALSE),"")</f>
        <v>（水）</v>
      </c>
      <c r="F40" s="964" t="str">
        <f t="shared" si="18"/>
        <v>（木）</v>
      </c>
      <c r="G40" s="964" t="str">
        <f t="shared" si="18"/>
        <v>（金）</v>
      </c>
      <c r="H40" s="964" t="str">
        <f t="shared" si="18"/>
        <v>（土）</v>
      </c>
      <c r="I40" s="964" t="str">
        <f t="shared" si="18"/>
        <v>（日）</v>
      </c>
      <c r="J40" s="964" t="str">
        <f t="shared" si="18"/>
        <v>（月）</v>
      </c>
      <c r="K40" s="964" t="str">
        <f t="shared" si="18"/>
        <v>（火）</v>
      </c>
      <c r="L40" s="964" t="str">
        <f t="shared" si="18"/>
        <v>（水）</v>
      </c>
      <c r="M40" s="964" t="str">
        <f t="shared" si="18"/>
        <v>（木）</v>
      </c>
      <c r="N40" s="964" t="str">
        <f t="shared" si="18"/>
        <v>（金）</v>
      </c>
      <c r="O40" s="964" t="str">
        <f t="shared" si="18"/>
        <v>（土）</v>
      </c>
      <c r="P40" s="964" t="str">
        <f t="shared" si="18"/>
        <v>（日）</v>
      </c>
      <c r="Q40" s="964" t="str">
        <f t="shared" si="18"/>
        <v>（月）</v>
      </c>
      <c r="R40" s="964" t="str">
        <f t="shared" si="18"/>
        <v>（火）</v>
      </c>
      <c r="S40" s="964" t="str">
        <f t="shared" si="18"/>
        <v>（水）</v>
      </c>
      <c r="T40" s="964" t="str">
        <f t="shared" si="18"/>
        <v>（木）</v>
      </c>
      <c r="U40" s="964" t="str">
        <f t="shared" si="18"/>
        <v>（金）</v>
      </c>
      <c r="V40" s="964" t="str">
        <f t="shared" si="18"/>
        <v>（土）</v>
      </c>
      <c r="W40" s="964" t="str">
        <f t="shared" si="18"/>
        <v>（日）</v>
      </c>
      <c r="X40" s="964" t="str">
        <f t="shared" si="18"/>
        <v>（月）</v>
      </c>
      <c r="Y40" s="964" t="str">
        <f t="shared" si="18"/>
        <v>（火）</v>
      </c>
      <c r="Z40" s="964" t="str">
        <f t="shared" si="18"/>
        <v>（水）</v>
      </c>
      <c r="AA40" s="964" t="str">
        <f t="shared" si="18"/>
        <v>（木）</v>
      </c>
      <c r="AB40" s="964" t="str">
        <f t="shared" si="18"/>
        <v>（金）</v>
      </c>
      <c r="AC40" s="964" t="str">
        <f t="shared" si="18"/>
        <v>（土）</v>
      </c>
      <c r="AD40" s="964" t="str">
        <f t="shared" si="18"/>
        <v>（日）</v>
      </c>
      <c r="AE40" s="964" t="str">
        <f t="shared" si="18"/>
        <v>（月）</v>
      </c>
      <c r="AF40" s="964" t="str">
        <f t="shared" si="18"/>
        <v>（火）</v>
      </c>
      <c r="AG40" s="964" t="str">
        <f t="shared" si="18"/>
        <v>（水）</v>
      </c>
      <c r="AH40" s="964" t="str">
        <f t="shared" si="18"/>
        <v>（木）</v>
      </c>
      <c r="AI40" s="967" t="str">
        <f t="shared" si="18"/>
        <v>（金）</v>
      </c>
      <c r="AJ40" s="2368"/>
      <c r="AK40" s="623"/>
      <c r="AL40" s="2369" t="s">
        <v>641</v>
      </c>
      <c r="AM40" s="2369"/>
      <c r="AN40" s="624" t="str">
        <f>IF(E39&lt;&gt;"",IF(OR(WEEKDAY(DATE($A39,$B39,E39),2)&gt;6,COUNTIF('休日情報(要更新)'!$A$5:$J$32,DATE($A39,$B39,E39)) &gt;=1),"○",IF(WEEKDAY(DATE($A39,$B39,E39),2)=6,"●","")),"×")</f>
        <v/>
      </c>
      <c r="AO40" s="624" t="str">
        <f>IF(F39&lt;&gt;"",IF(OR(WEEKDAY(DATE($A39,$B39,F39),2)&gt;6,COUNTIF('休日情報(要更新)'!$A$5:$J$32,DATE($A39,$B39,F39)) &gt;=1),"○",IF(WEEKDAY(DATE($A39,$B39,F39),2)=6,"●","")),"×")</f>
        <v/>
      </c>
      <c r="AP40" s="624" t="str">
        <f>IF(G39&lt;&gt;"",IF(OR(WEEKDAY(DATE($A39,$B39,G39),2)&gt;6,COUNTIF('休日情報(要更新)'!$A$5:$J$32,DATE($A39,$B39,G39)) &gt;=1),"○",IF(WEEKDAY(DATE($A39,$B39,G39),2)=6,"●","")),"×")</f>
        <v/>
      </c>
      <c r="AQ40" s="624" t="str">
        <f>IF(H39&lt;&gt;"",IF(OR(WEEKDAY(DATE($A39,$B39,H39),2)&gt;6,COUNTIF('休日情報(要更新)'!$A$5:$J$32,DATE($A39,$B39,H39)) &gt;=1),"○",IF(WEEKDAY(DATE($A39,$B39,H39),2)=6,"●","")),"×")</f>
        <v>●</v>
      </c>
      <c r="AR40" s="624" t="str">
        <f>IF(I39&lt;&gt;"",IF(OR(WEEKDAY(DATE($A39,$B39,I39),2)&gt;6,COUNTIF('休日情報(要更新)'!$A$5:$J$32,DATE($A39,$B39,I39)) &gt;=1),"○",IF(WEEKDAY(DATE($A39,$B39,I39),2)=6,"●","")),"×")</f>
        <v>○</v>
      </c>
      <c r="AS40" s="624" t="str">
        <f>IF(J39&lt;&gt;"",IF(OR(WEEKDAY(DATE($A39,$B39,J39),2)&gt;6,COUNTIF('休日情報(要更新)'!$A$5:$J$32,DATE($A39,$B39,J39)) &gt;=1),"○",IF(WEEKDAY(DATE($A39,$B39,J39),2)=6,"●","")),"×")</f>
        <v/>
      </c>
      <c r="AT40" s="624" t="str">
        <f>IF(K39&lt;&gt;"",IF(OR(WEEKDAY(DATE($A39,$B39,K39),2)&gt;6,COUNTIF('休日情報(要更新)'!$A$5:$J$32,DATE($A39,$B39,K39)) &gt;=1),"○",IF(WEEKDAY(DATE($A39,$B39,K39),2)=6,"●","")),"×")</f>
        <v/>
      </c>
      <c r="AU40" s="624" t="str">
        <f>IF(L39&lt;&gt;"",IF(OR(WEEKDAY(DATE($A39,$B39,L39),2)&gt;6,COUNTIF('休日情報(要更新)'!$A$5:$J$32,DATE($A39,$B39,L39)) &gt;=1),"○",IF(WEEKDAY(DATE($A39,$B39,L39),2)=6,"●","")),"×")</f>
        <v/>
      </c>
      <c r="AV40" s="624" t="str">
        <f>IF(M39&lt;&gt;"",IF(OR(WEEKDAY(DATE($A39,$B39,M39),2)&gt;6,COUNTIF('休日情報(要更新)'!$A$5:$J$32,DATE($A39,$B39,M39)) &gt;=1),"○",IF(WEEKDAY(DATE($A39,$B39,M39),2)=6,"●","")),"×")</f>
        <v/>
      </c>
      <c r="AW40" s="624" t="str">
        <f>IF(N39&lt;&gt;"",IF(OR(WEEKDAY(DATE($A39,$B39,N39),2)&gt;6,COUNTIF('休日情報(要更新)'!$A$5:$J$32,DATE($A39,$B39,N39)) &gt;=1),"○",IF(WEEKDAY(DATE($A39,$B39,N39),2)=6,"●","")),"×")</f>
        <v/>
      </c>
      <c r="AX40" s="624" t="str">
        <f>IF(O39&lt;&gt;"",IF(OR(WEEKDAY(DATE($A39,$B39,O39),2)&gt;6,COUNTIF('休日情報(要更新)'!$A$5:$J$32,DATE($A39,$B39,O39)) &gt;=1),"○",IF(WEEKDAY(DATE($A39,$B39,O39),2)=6,"●","")),"×")</f>
        <v>●</v>
      </c>
      <c r="AY40" s="624" t="str">
        <f>IF(P39&lt;&gt;"",IF(OR(WEEKDAY(DATE($A39,$B39,P39),2)&gt;6,COUNTIF('休日情報(要更新)'!$A$5:$J$32,DATE($A39,$B39,P39)) &gt;=1),"○",IF(WEEKDAY(DATE($A39,$B39,P39),2)=6,"●","")),"×")</f>
        <v>○</v>
      </c>
      <c r="AZ40" s="624" t="str">
        <f>IF(Q39&lt;&gt;"",IF(OR(WEEKDAY(DATE($A39,$B39,Q39),2)&gt;6,COUNTIF('休日情報(要更新)'!$A$5:$J$32,DATE($A39,$B39,Q39)) &gt;=1),"○",IF(WEEKDAY(DATE($A39,$B39,Q39),2)=6,"●","")),"×")</f>
        <v>○</v>
      </c>
      <c r="BA40" s="624" t="str">
        <f>IF(R39&lt;&gt;"",IF(OR(WEEKDAY(DATE($A39,$B39,R39),2)&gt;6,COUNTIF('休日情報(要更新)'!$A$5:$J$32,DATE($A39,$B39,R39)) &gt;=1),"○",IF(WEEKDAY(DATE($A39,$B39,R39),2)=6,"●","")),"×")</f>
        <v/>
      </c>
      <c r="BB40" s="624" t="str">
        <f>IF(S39&lt;&gt;"",IF(OR(WEEKDAY(DATE($A39,$B39,S39),2)&gt;6,COUNTIF('休日情報(要更新)'!$A$5:$J$32,DATE($A39,$B39,S39)) &gt;=1),"○",IF(WEEKDAY(DATE($A39,$B39,S39),2)=6,"●","")),"×")</f>
        <v/>
      </c>
      <c r="BC40" s="624" t="str">
        <f>IF(T39&lt;&gt;"",IF(OR(WEEKDAY(DATE($A39,$B39,T39),2)&gt;6,COUNTIF('休日情報(要更新)'!$A$5:$J$32,DATE($A39,$B39,T39)) &gt;=1),"○",IF(WEEKDAY(DATE($A39,$B39,T39),2)=6,"●","")),"×")</f>
        <v/>
      </c>
      <c r="BD40" s="624" t="str">
        <f>IF(U39&lt;&gt;"",IF(OR(WEEKDAY(DATE($A39,$B39,U39),2)&gt;6,COUNTIF('休日情報(要更新)'!$A$5:$J$32,DATE($A39,$B39,U39)) &gt;=1),"○",IF(WEEKDAY(DATE($A39,$B39,U39),2)=6,"●","")),"×")</f>
        <v/>
      </c>
      <c r="BE40" s="624" t="str">
        <f>IF(V39&lt;&gt;"",IF(OR(WEEKDAY(DATE($A39,$B39,V39),2)&gt;6,COUNTIF('休日情報(要更新)'!$A$5:$J$32,DATE($A39,$B39,V39)) &gt;=1),"○",IF(WEEKDAY(DATE($A39,$B39,V39),2)=6,"●","")),"×")</f>
        <v>●</v>
      </c>
      <c r="BF40" s="624" t="str">
        <f>IF(W39&lt;&gt;"",IF(OR(WEEKDAY(DATE($A39,$B39,W39),2)&gt;6,COUNTIF('休日情報(要更新)'!$A$5:$J$32,DATE($A39,$B39,W39)) &gt;=1),"○",IF(WEEKDAY(DATE($A39,$B39,W39),2)=6,"●","")),"×")</f>
        <v>○</v>
      </c>
      <c r="BG40" s="624" t="str">
        <f>IF(X39&lt;&gt;"",IF(OR(WEEKDAY(DATE($A39,$B39,X39),2)&gt;6,COUNTIF('休日情報(要更新)'!$A$5:$J$32,DATE($A39,$B39,X39)) &gt;=1),"○",IF(WEEKDAY(DATE($A39,$B39,X39),2)=6,"●","")),"×")</f>
        <v/>
      </c>
      <c r="BH40" s="624" t="str">
        <f>IF(Y39&lt;&gt;"",IF(OR(WEEKDAY(DATE($A39,$B39,Y39),2)&gt;6,COUNTIF('休日情報(要更新)'!$A$5:$J$32,DATE($A39,$B39,Y39)) &gt;=1),"○",IF(WEEKDAY(DATE($A39,$B39,Y39),2)=6,"●","")),"×")</f>
        <v/>
      </c>
      <c r="BI40" s="624" t="str">
        <f>IF(Z39&lt;&gt;"",IF(OR(WEEKDAY(DATE($A39,$B39,Z39),2)&gt;6,COUNTIF('休日情報(要更新)'!$A$5:$J$32,DATE($A39,$B39,Z39)) &gt;=1),"○",IF(WEEKDAY(DATE($A39,$B39,Z39),2)=6,"●","")),"×")</f>
        <v/>
      </c>
      <c r="BJ40" s="624" t="str">
        <f>IF(AA39&lt;&gt;"",IF(OR(WEEKDAY(DATE($A39,$B39,AA39),2)&gt;6,COUNTIF('休日情報(要更新)'!$A$5:$J$32,DATE($A39,$B39,AA39)) &gt;=1),"○",IF(WEEKDAY(DATE($A39,$B39,AA39),2)=6,"●","")),"×")</f>
        <v/>
      </c>
      <c r="BK40" s="624" t="str">
        <f>IF(AB39&lt;&gt;"",IF(OR(WEEKDAY(DATE($A39,$B39,AB39),2)&gt;6,COUNTIF('休日情報(要更新)'!$A$5:$J$32,DATE($A39,$B39,AB39)) &gt;=1),"○",IF(WEEKDAY(DATE($A39,$B39,AB39),2)=6,"●","")),"×")</f>
        <v/>
      </c>
      <c r="BL40" s="624" t="str">
        <f>IF(AC39&lt;&gt;"",IF(OR(WEEKDAY(DATE($A39,$B39,AC39),2)&gt;6,COUNTIF('休日情報(要更新)'!$A$5:$J$32,DATE($A39,$B39,AC39)) &gt;=1),"○",IF(WEEKDAY(DATE($A39,$B39,AC39),2)=6,"●","")),"×")</f>
        <v>●</v>
      </c>
      <c r="BM40" s="624" t="str">
        <f>IF(AD39&lt;&gt;"",IF(OR(WEEKDAY(DATE($A39,$B39,AD39),2)&gt;6,COUNTIF('休日情報(要更新)'!$A$5:$J$32,DATE($A39,$B39,AD39)) &gt;=1),"○",IF(WEEKDAY(DATE($A39,$B39,AD39),2)=6,"●","")),"×")</f>
        <v>○</v>
      </c>
      <c r="BN40" s="624" t="str">
        <f>IF(AE39&lt;&gt;"",IF(OR(WEEKDAY(DATE($A39,$B39,AE39),2)&gt;6,COUNTIF('休日情報(要更新)'!$A$5:$J$32,DATE($A39,$B39,AE39)) &gt;=1),"○",IF(WEEKDAY(DATE($A39,$B39,AE39),2)=6,"●","")),"×")</f>
        <v/>
      </c>
      <c r="BO40" s="624" t="str">
        <f>IF(AF39&lt;&gt;"",IF(OR(WEEKDAY(DATE($A39,$B39,AF39),2)&gt;6,COUNTIF('休日情報(要更新)'!$A$5:$J$32,DATE($A39,$B39,AF39)) &gt;=1),"○",IF(WEEKDAY(DATE($A39,$B39,AF39),2)=6,"●","")),"×")</f>
        <v/>
      </c>
      <c r="BP40" s="624" t="str">
        <f>IF(AG39&lt;&gt;"",IF(OR(WEEKDAY(DATE($A39,$B39,AG39),2)&gt;6,COUNTIF('休日情報(要更新)'!$A$5:$J$32,DATE($A39,$B39,AG39)) &gt;=1),"○",IF(WEEKDAY(DATE($A39,$B39,AG39),2)=6,"●","")),"×")</f>
        <v/>
      </c>
      <c r="BQ40" s="624" t="str">
        <f>IF(AH39&lt;&gt;"",IF(OR(WEEKDAY(DATE($A39,$B39,AH39),2)&gt;6,COUNTIF('休日情報(要更新)'!$A$5:$J$32,DATE($A39,$B39,AH39)) &gt;=1),"○",IF(WEEKDAY(DATE($A39,$B39,AH39),2)=6,"●","")),"×")</f>
        <v/>
      </c>
      <c r="BR40" s="624" t="str">
        <f>IF(AI39&lt;&gt;"",IF(OR(WEEKDAY(DATE($A39,$B39,AI39),2)&gt;6,COUNTIF('休日情報(要更新)'!$A$5:$J$32,DATE($A39,$B39,AI39)) &gt;=1),"○",IF(WEEKDAY(DATE($A39,$B39,AI39),2)=6,"●","")),"×")</f>
        <v/>
      </c>
    </row>
    <row r="41" spans="1:70" ht="12" customHeight="1">
      <c r="A41" s="2361"/>
      <c r="B41" s="2363"/>
      <c r="C41" s="2370"/>
      <c r="D41" s="626" t="s">
        <v>653</v>
      </c>
      <c r="E41" s="627"/>
      <c r="F41" s="628"/>
      <c r="G41" s="628"/>
      <c r="H41" s="628"/>
      <c r="I41" s="628"/>
      <c r="J41" s="628"/>
      <c r="K41" s="628"/>
      <c r="L41" s="628"/>
      <c r="M41" s="628"/>
      <c r="N41" s="628"/>
      <c r="O41" s="628"/>
      <c r="P41" s="628"/>
      <c r="Q41" s="628"/>
      <c r="R41" s="628"/>
      <c r="S41" s="628"/>
      <c r="T41" s="628"/>
      <c r="U41" s="628"/>
      <c r="V41" s="628"/>
      <c r="W41" s="628"/>
      <c r="X41" s="628"/>
      <c r="Y41" s="628"/>
      <c r="Z41" s="628"/>
      <c r="AA41" s="628"/>
      <c r="AB41" s="628"/>
      <c r="AC41" s="628"/>
      <c r="AD41" s="628"/>
      <c r="AE41" s="628"/>
      <c r="AF41" s="628"/>
      <c r="AG41" s="628"/>
      <c r="AH41" s="628"/>
      <c r="AI41" s="629"/>
      <c r="AJ41" s="630">
        <f>COUNTIFS(AN40:BR40,"",E41:AI41,"○")</f>
        <v>0</v>
      </c>
      <c r="AK41" s="631"/>
    </row>
    <row r="42" spans="1:70" ht="12.75" customHeight="1">
      <c r="A42" s="2361"/>
      <c r="B42" s="2363"/>
      <c r="C42" s="2371"/>
      <c r="D42" s="821" t="s">
        <v>654</v>
      </c>
      <c r="E42" s="822"/>
      <c r="F42" s="823"/>
      <c r="G42" s="823"/>
      <c r="H42" s="823"/>
      <c r="I42" s="823"/>
      <c r="J42" s="823"/>
      <c r="K42" s="823"/>
      <c r="L42" s="823"/>
      <c r="M42" s="823"/>
      <c r="N42" s="823"/>
      <c r="O42" s="823"/>
      <c r="P42" s="823"/>
      <c r="Q42" s="823"/>
      <c r="R42" s="823"/>
      <c r="S42" s="823"/>
      <c r="T42" s="823"/>
      <c r="U42" s="823"/>
      <c r="V42" s="823"/>
      <c r="W42" s="823"/>
      <c r="X42" s="823"/>
      <c r="Y42" s="823"/>
      <c r="Z42" s="823"/>
      <c r="AA42" s="823"/>
      <c r="AB42" s="823"/>
      <c r="AC42" s="823"/>
      <c r="AD42" s="823"/>
      <c r="AE42" s="823"/>
      <c r="AF42" s="823"/>
      <c r="AG42" s="823"/>
      <c r="AH42" s="823"/>
      <c r="AI42" s="824"/>
      <c r="AJ42" s="825">
        <f>COUNTIFS(E41:AI41,"○",AN40:BR40,"",E42:AI42,"○")</f>
        <v>0</v>
      </c>
    </row>
    <row r="43" spans="1:70" ht="12.75" customHeight="1">
      <c r="A43" s="955"/>
      <c r="B43" s="2364"/>
      <c r="C43" s="2372"/>
      <c r="D43" s="633" t="s">
        <v>1182</v>
      </c>
      <c r="E43" s="634"/>
      <c r="F43" s="635"/>
      <c r="G43" s="635"/>
      <c r="H43" s="635"/>
      <c r="I43" s="635"/>
      <c r="J43" s="635"/>
      <c r="K43" s="635"/>
      <c r="L43" s="635"/>
      <c r="M43" s="635"/>
      <c r="N43" s="635"/>
      <c r="O43" s="635"/>
      <c r="P43" s="635"/>
      <c r="Q43" s="635"/>
      <c r="R43" s="635"/>
      <c r="S43" s="635"/>
      <c r="T43" s="635"/>
      <c r="U43" s="635"/>
      <c r="V43" s="635"/>
      <c r="W43" s="635"/>
      <c r="X43" s="635"/>
      <c r="Y43" s="635"/>
      <c r="Z43" s="635"/>
      <c r="AA43" s="635"/>
      <c r="AB43" s="635"/>
      <c r="AC43" s="635"/>
      <c r="AD43" s="635"/>
      <c r="AE43" s="635"/>
      <c r="AF43" s="635"/>
      <c r="AG43" s="635"/>
      <c r="AH43" s="635"/>
      <c r="AI43" s="636"/>
      <c r="AJ43" s="637">
        <f>COUNTIFS(E41:AI41,"○",AN40:BR40,"",E42:AI42,"○",E43:AI43,"○")</f>
        <v>0</v>
      </c>
    </row>
    <row r="44" spans="1:70" ht="12" customHeight="1">
      <c r="A44" s="2361">
        <f>IF($AN$7=0,#REF!,$AN$7)+IF(AND($B44&gt;=1,$B44&lt;=3),1,0)</f>
        <v>2025</v>
      </c>
      <c r="B44" s="2374">
        <v>11</v>
      </c>
      <c r="C44" s="2372" t="s">
        <v>864</v>
      </c>
      <c r="D44" s="826" t="s">
        <v>643</v>
      </c>
      <c r="E44" s="827">
        <v>1</v>
      </c>
      <c r="F44" s="703">
        <v>2</v>
      </c>
      <c r="G44" s="703">
        <v>3</v>
      </c>
      <c r="H44" s="703">
        <v>4</v>
      </c>
      <c r="I44" s="703">
        <v>5</v>
      </c>
      <c r="J44" s="703">
        <v>6</v>
      </c>
      <c r="K44" s="703">
        <v>7</v>
      </c>
      <c r="L44" s="703">
        <v>8</v>
      </c>
      <c r="M44" s="703">
        <v>9</v>
      </c>
      <c r="N44" s="703">
        <v>10</v>
      </c>
      <c r="O44" s="703">
        <v>11</v>
      </c>
      <c r="P44" s="703">
        <v>12</v>
      </c>
      <c r="Q44" s="703">
        <v>13</v>
      </c>
      <c r="R44" s="703">
        <v>14</v>
      </c>
      <c r="S44" s="703">
        <v>15</v>
      </c>
      <c r="T44" s="703">
        <v>16</v>
      </c>
      <c r="U44" s="703">
        <v>17</v>
      </c>
      <c r="V44" s="703">
        <v>18</v>
      </c>
      <c r="W44" s="703">
        <v>19</v>
      </c>
      <c r="X44" s="703">
        <v>20</v>
      </c>
      <c r="Y44" s="703">
        <v>21</v>
      </c>
      <c r="Z44" s="703">
        <v>22</v>
      </c>
      <c r="AA44" s="703">
        <v>23</v>
      </c>
      <c r="AB44" s="703">
        <v>24</v>
      </c>
      <c r="AC44" s="703">
        <v>25</v>
      </c>
      <c r="AD44" s="703">
        <v>26</v>
      </c>
      <c r="AE44" s="703">
        <v>27</v>
      </c>
      <c r="AF44" s="703">
        <v>28</v>
      </c>
      <c r="AG44" s="703">
        <f>IF(MONTH(DATE($A44,B44,AF44+1))=B44,AF44+1,"")</f>
        <v>29</v>
      </c>
      <c r="AH44" s="703">
        <f t="shared" ref="AH44" si="19">IF(B44&lt;&gt;2,IF(AG44&lt;&gt;"",AG44+1,""),"")</f>
        <v>30</v>
      </c>
      <c r="AI44" s="704" t="str">
        <f t="shared" ref="AI44" si="20">IF(OR(B44=1,B44=3,B44=5,B44=7,B44=8,B44=10,B44=12),AH44+1,"")</f>
        <v/>
      </c>
      <c r="AJ44" s="2373" t="s">
        <v>22</v>
      </c>
      <c r="AK44" s="623"/>
      <c r="AL44" s="2369" t="s">
        <v>444</v>
      </c>
      <c r="AM44" s="2369"/>
      <c r="AN44" s="624">
        <v>1</v>
      </c>
      <c r="AO44" s="624">
        <v>2</v>
      </c>
      <c r="AP44" s="624">
        <v>3</v>
      </c>
      <c r="AQ44" s="624">
        <v>4</v>
      </c>
      <c r="AR44" s="624">
        <v>5</v>
      </c>
      <c r="AS44" s="624">
        <v>6</v>
      </c>
      <c r="AT44" s="624">
        <v>7</v>
      </c>
      <c r="AU44" s="624">
        <v>8</v>
      </c>
      <c r="AV44" s="624">
        <v>9</v>
      </c>
      <c r="AW44" s="624">
        <v>10</v>
      </c>
      <c r="AX44" s="624">
        <v>11</v>
      </c>
      <c r="AY44" s="624">
        <v>12</v>
      </c>
      <c r="AZ44" s="624">
        <v>13</v>
      </c>
      <c r="BA44" s="624">
        <v>14</v>
      </c>
      <c r="BB44" s="624">
        <v>15</v>
      </c>
      <c r="BC44" s="624">
        <v>16</v>
      </c>
      <c r="BD44" s="624">
        <v>17</v>
      </c>
      <c r="BE44" s="624">
        <v>18</v>
      </c>
      <c r="BF44" s="624">
        <v>19</v>
      </c>
      <c r="BG44" s="624">
        <v>20</v>
      </c>
      <c r="BH44" s="624">
        <v>21</v>
      </c>
      <c r="BI44" s="624">
        <v>22</v>
      </c>
      <c r="BJ44" s="624">
        <v>23</v>
      </c>
      <c r="BK44" s="624">
        <v>24</v>
      </c>
      <c r="BL44" s="624">
        <v>25</v>
      </c>
      <c r="BM44" s="624">
        <v>26</v>
      </c>
      <c r="BN44" s="624">
        <v>27</v>
      </c>
      <c r="BO44" s="624">
        <v>28</v>
      </c>
      <c r="BP44" s="624">
        <v>29</v>
      </c>
      <c r="BQ44" s="624">
        <v>30</v>
      </c>
      <c r="BR44" s="624">
        <v>31</v>
      </c>
    </row>
    <row r="45" spans="1:70" ht="12" customHeight="1">
      <c r="A45" s="2361"/>
      <c r="B45" s="2363"/>
      <c r="C45" s="2366"/>
      <c r="D45" s="625" t="s">
        <v>445</v>
      </c>
      <c r="E45" s="966" t="str">
        <f t="shared" ref="E45:AI45" si="21">IF(E44&lt;&gt;"",HLOOKUP(WEEKDAY(DATE($A44,$B44,E44)),$AP$1:$AV$2,2,FALSE),"")</f>
        <v>（土）</v>
      </c>
      <c r="F45" s="964" t="str">
        <f t="shared" si="21"/>
        <v>（日）</v>
      </c>
      <c r="G45" s="964" t="str">
        <f t="shared" si="21"/>
        <v>（月）</v>
      </c>
      <c r="H45" s="964" t="str">
        <f t="shared" si="21"/>
        <v>（火）</v>
      </c>
      <c r="I45" s="964" t="str">
        <f t="shared" si="21"/>
        <v>（水）</v>
      </c>
      <c r="J45" s="964" t="str">
        <f t="shared" si="21"/>
        <v>（木）</v>
      </c>
      <c r="K45" s="964" t="str">
        <f t="shared" si="21"/>
        <v>（金）</v>
      </c>
      <c r="L45" s="964" t="str">
        <f t="shared" si="21"/>
        <v>（土）</v>
      </c>
      <c r="M45" s="964" t="str">
        <f t="shared" si="21"/>
        <v>（日）</v>
      </c>
      <c r="N45" s="964" t="str">
        <f t="shared" si="21"/>
        <v>（月）</v>
      </c>
      <c r="O45" s="964" t="str">
        <f t="shared" si="21"/>
        <v>（火）</v>
      </c>
      <c r="P45" s="964" t="str">
        <f t="shared" si="21"/>
        <v>（水）</v>
      </c>
      <c r="Q45" s="964" t="str">
        <f t="shared" si="21"/>
        <v>（木）</v>
      </c>
      <c r="R45" s="964" t="str">
        <f t="shared" si="21"/>
        <v>（金）</v>
      </c>
      <c r="S45" s="964" t="str">
        <f t="shared" si="21"/>
        <v>（土）</v>
      </c>
      <c r="T45" s="964" t="str">
        <f t="shared" si="21"/>
        <v>（日）</v>
      </c>
      <c r="U45" s="964" t="str">
        <f t="shared" si="21"/>
        <v>（月）</v>
      </c>
      <c r="V45" s="964" t="str">
        <f t="shared" si="21"/>
        <v>（火）</v>
      </c>
      <c r="W45" s="964" t="str">
        <f t="shared" si="21"/>
        <v>（水）</v>
      </c>
      <c r="X45" s="964" t="str">
        <f t="shared" si="21"/>
        <v>（木）</v>
      </c>
      <c r="Y45" s="964" t="str">
        <f t="shared" si="21"/>
        <v>（金）</v>
      </c>
      <c r="Z45" s="964" t="str">
        <f t="shared" si="21"/>
        <v>（土）</v>
      </c>
      <c r="AA45" s="964" t="str">
        <f t="shared" si="21"/>
        <v>（日）</v>
      </c>
      <c r="AB45" s="964" t="str">
        <f t="shared" si="21"/>
        <v>（月）</v>
      </c>
      <c r="AC45" s="964" t="str">
        <f t="shared" si="21"/>
        <v>（火）</v>
      </c>
      <c r="AD45" s="964" t="str">
        <f t="shared" si="21"/>
        <v>（水）</v>
      </c>
      <c r="AE45" s="964" t="str">
        <f t="shared" si="21"/>
        <v>（木）</v>
      </c>
      <c r="AF45" s="964" t="str">
        <f t="shared" si="21"/>
        <v>（金）</v>
      </c>
      <c r="AG45" s="964" t="str">
        <f t="shared" si="21"/>
        <v>（土）</v>
      </c>
      <c r="AH45" s="964" t="str">
        <f t="shared" si="21"/>
        <v>（日）</v>
      </c>
      <c r="AI45" s="967" t="str">
        <f t="shared" si="21"/>
        <v/>
      </c>
      <c r="AJ45" s="2368"/>
      <c r="AK45" s="623"/>
      <c r="AL45" s="2369" t="s">
        <v>641</v>
      </c>
      <c r="AM45" s="2369"/>
      <c r="AN45" s="624" t="str">
        <f>IF(E44&lt;&gt;"",IF(OR(WEEKDAY(DATE($A44,$B44,E44),2)&gt;6,COUNTIF('休日情報(要更新)'!$A$5:$J$32,DATE($A44,$B44,E44)) &gt;=1),"○",IF(WEEKDAY(DATE($A44,$B44,E44),2)=6,"●","")),"×")</f>
        <v>●</v>
      </c>
      <c r="AO45" s="624" t="str">
        <f>IF(F44&lt;&gt;"",IF(OR(WEEKDAY(DATE($A44,$B44,F44),2)&gt;6,COUNTIF('休日情報(要更新)'!$A$5:$J$32,DATE($A44,$B44,F44)) &gt;=1),"○",IF(WEEKDAY(DATE($A44,$B44,F44),2)=6,"●","")),"×")</f>
        <v>○</v>
      </c>
      <c r="AP45" s="624" t="str">
        <f>IF(G44&lt;&gt;"",IF(OR(WEEKDAY(DATE($A44,$B44,G44),2)&gt;6,COUNTIF('休日情報(要更新)'!$A$5:$J$32,DATE($A44,$B44,G44)) &gt;=1),"○",IF(WEEKDAY(DATE($A44,$B44,G44),2)=6,"●","")),"×")</f>
        <v>○</v>
      </c>
      <c r="AQ45" s="624" t="str">
        <f>IF(H44&lt;&gt;"",IF(OR(WEEKDAY(DATE($A44,$B44,H44),2)&gt;6,COUNTIF('休日情報(要更新)'!$A$5:$J$32,DATE($A44,$B44,H44)) &gt;=1),"○",IF(WEEKDAY(DATE($A44,$B44,H44),2)=6,"●","")),"×")</f>
        <v/>
      </c>
      <c r="AR45" s="624" t="str">
        <f>IF(I44&lt;&gt;"",IF(OR(WEEKDAY(DATE($A44,$B44,I44),2)&gt;6,COUNTIF('休日情報(要更新)'!$A$5:$J$32,DATE($A44,$B44,I44)) &gt;=1),"○",IF(WEEKDAY(DATE($A44,$B44,I44),2)=6,"●","")),"×")</f>
        <v/>
      </c>
      <c r="AS45" s="624" t="str">
        <f>IF(J44&lt;&gt;"",IF(OR(WEEKDAY(DATE($A44,$B44,J44),2)&gt;6,COUNTIF('休日情報(要更新)'!$A$5:$J$32,DATE($A44,$B44,J44)) &gt;=1),"○",IF(WEEKDAY(DATE($A44,$B44,J44),2)=6,"●","")),"×")</f>
        <v/>
      </c>
      <c r="AT45" s="624" t="str">
        <f>IF(K44&lt;&gt;"",IF(OR(WEEKDAY(DATE($A44,$B44,K44),2)&gt;6,COUNTIF('休日情報(要更新)'!$A$5:$J$32,DATE($A44,$B44,K44)) &gt;=1),"○",IF(WEEKDAY(DATE($A44,$B44,K44),2)=6,"●","")),"×")</f>
        <v/>
      </c>
      <c r="AU45" s="624" t="str">
        <f>IF(L44&lt;&gt;"",IF(OR(WEEKDAY(DATE($A44,$B44,L44),2)&gt;6,COUNTIF('休日情報(要更新)'!$A$5:$J$32,DATE($A44,$B44,L44)) &gt;=1),"○",IF(WEEKDAY(DATE($A44,$B44,L44),2)=6,"●","")),"×")</f>
        <v>●</v>
      </c>
      <c r="AV45" s="624" t="str">
        <f>IF(M44&lt;&gt;"",IF(OR(WEEKDAY(DATE($A44,$B44,M44),2)&gt;6,COUNTIF('休日情報(要更新)'!$A$5:$J$32,DATE($A44,$B44,M44)) &gt;=1),"○",IF(WEEKDAY(DATE($A44,$B44,M44),2)=6,"●","")),"×")</f>
        <v>○</v>
      </c>
      <c r="AW45" s="624" t="str">
        <f>IF(N44&lt;&gt;"",IF(OR(WEEKDAY(DATE($A44,$B44,N44),2)&gt;6,COUNTIF('休日情報(要更新)'!$A$5:$J$32,DATE($A44,$B44,N44)) &gt;=1),"○",IF(WEEKDAY(DATE($A44,$B44,N44),2)=6,"●","")),"×")</f>
        <v/>
      </c>
      <c r="AX45" s="624" t="str">
        <f>IF(O44&lt;&gt;"",IF(OR(WEEKDAY(DATE($A44,$B44,O44),2)&gt;6,COUNTIF('休日情報(要更新)'!$A$5:$J$32,DATE($A44,$B44,O44)) &gt;=1),"○",IF(WEEKDAY(DATE($A44,$B44,O44),2)=6,"●","")),"×")</f>
        <v/>
      </c>
      <c r="AY45" s="624" t="str">
        <f>IF(P44&lt;&gt;"",IF(OR(WEEKDAY(DATE($A44,$B44,P44),2)&gt;6,COUNTIF('休日情報(要更新)'!$A$5:$J$32,DATE($A44,$B44,P44)) &gt;=1),"○",IF(WEEKDAY(DATE($A44,$B44,P44),2)=6,"●","")),"×")</f>
        <v/>
      </c>
      <c r="AZ45" s="624" t="str">
        <f>IF(Q44&lt;&gt;"",IF(OR(WEEKDAY(DATE($A44,$B44,Q44),2)&gt;6,COUNTIF('休日情報(要更新)'!$A$5:$J$32,DATE($A44,$B44,Q44)) &gt;=1),"○",IF(WEEKDAY(DATE($A44,$B44,Q44),2)=6,"●","")),"×")</f>
        <v/>
      </c>
      <c r="BA45" s="624" t="str">
        <f>IF(R44&lt;&gt;"",IF(OR(WEEKDAY(DATE($A44,$B44,R44),2)&gt;6,COUNTIF('休日情報(要更新)'!$A$5:$J$32,DATE($A44,$B44,R44)) &gt;=1),"○",IF(WEEKDAY(DATE($A44,$B44,R44),2)=6,"●","")),"×")</f>
        <v/>
      </c>
      <c r="BB45" s="624" t="str">
        <f>IF(S44&lt;&gt;"",IF(OR(WEEKDAY(DATE($A44,$B44,S44),2)&gt;6,COUNTIF('休日情報(要更新)'!$A$5:$J$32,DATE($A44,$B44,S44)) &gt;=1),"○",IF(WEEKDAY(DATE($A44,$B44,S44),2)=6,"●","")),"×")</f>
        <v>●</v>
      </c>
      <c r="BC45" s="624" t="str">
        <f>IF(T44&lt;&gt;"",IF(OR(WEEKDAY(DATE($A44,$B44,T44),2)&gt;6,COUNTIF('休日情報(要更新)'!$A$5:$J$32,DATE($A44,$B44,T44)) &gt;=1),"○",IF(WEEKDAY(DATE($A44,$B44,T44),2)=6,"●","")),"×")</f>
        <v>○</v>
      </c>
      <c r="BD45" s="624" t="str">
        <f>IF(U44&lt;&gt;"",IF(OR(WEEKDAY(DATE($A44,$B44,U44),2)&gt;6,COUNTIF('休日情報(要更新)'!$A$5:$J$32,DATE($A44,$B44,U44)) &gt;=1),"○",IF(WEEKDAY(DATE($A44,$B44,U44),2)=6,"●","")),"×")</f>
        <v/>
      </c>
      <c r="BE45" s="624" t="str">
        <f>IF(V44&lt;&gt;"",IF(OR(WEEKDAY(DATE($A44,$B44,V44),2)&gt;6,COUNTIF('休日情報(要更新)'!$A$5:$J$32,DATE($A44,$B44,V44)) &gt;=1),"○",IF(WEEKDAY(DATE($A44,$B44,V44),2)=6,"●","")),"×")</f>
        <v/>
      </c>
      <c r="BF45" s="624" t="str">
        <f>IF(W44&lt;&gt;"",IF(OR(WEEKDAY(DATE($A44,$B44,W44),2)&gt;6,COUNTIF('休日情報(要更新)'!$A$5:$J$32,DATE($A44,$B44,W44)) &gt;=1),"○",IF(WEEKDAY(DATE($A44,$B44,W44),2)=6,"●","")),"×")</f>
        <v/>
      </c>
      <c r="BG45" s="624" t="str">
        <f>IF(X44&lt;&gt;"",IF(OR(WEEKDAY(DATE($A44,$B44,X44),2)&gt;6,COUNTIF('休日情報(要更新)'!$A$5:$J$32,DATE($A44,$B44,X44)) &gt;=1),"○",IF(WEEKDAY(DATE($A44,$B44,X44),2)=6,"●","")),"×")</f>
        <v/>
      </c>
      <c r="BH45" s="624" t="str">
        <f>IF(Y44&lt;&gt;"",IF(OR(WEEKDAY(DATE($A44,$B44,Y44),2)&gt;6,COUNTIF('休日情報(要更新)'!$A$5:$J$32,DATE($A44,$B44,Y44)) &gt;=1),"○",IF(WEEKDAY(DATE($A44,$B44,Y44),2)=6,"●","")),"×")</f>
        <v/>
      </c>
      <c r="BI45" s="624" t="str">
        <f>IF(Z44&lt;&gt;"",IF(OR(WEEKDAY(DATE($A44,$B44,Z44),2)&gt;6,COUNTIF('休日情報(要更新)'!$A$5:$J$32,DATE($A44,$B44,Z44)) &gt;=1),"○",IF(WEEKDAY(DATE($A44,$B44,Z44),2)=6,"●","")),"×")</f>
        <v>●</v>
      </c>
      <c r="BJ45" s="624" t="str">
        <f>IF(AA44&lt;&gt;"",IF(OR(WEEKDAY(DATE($A44,$B44,AA44),2)&gt;6,COUNTIF('休日情報(要更新)'!$A$5:$J$32,DATE($A44,$B44,AA44)) &gt;=1),"○",IF(WEEKDAY(DATE($A44,$B44,AA44),2)=6,"●","")),"×")</f>
        <v>○</v>
      </c>
      <c r="BK45" s="624" t="str">
        <f>IF(AB44&lt;&gt;"",IF(OR(WEEKDAY(DATE($A44,$B44,AB44),2)&gt;6,COUNTIF('休日情報(要更新)'!$A$5:$J$32,DATE($A44,$B44,AB44)) &gt;=1),"○",IF(WEEKDAY(DATE($A44,$B44,AB44),2)=6,"●","")),"×")</f>
        <v>○</v>
      </c>
      <c r="BL45" s="624" t="str">
        <f>IF(AC44&lt;&gt;"",IF(OR(WEEKDAY(DATE($A44,$B44,AC44),2)&gt;6,COUNTIF('休日情報(要更新)'!$A$5:$J$32,DATE($A44,$B44,AC44)) &gt;=1),"○",IF(WEEKDAY(DATE($A44,$B44,AC44),2)=6,"●","")),"×")</f>
        <v/>
      </c>
      <c r="BM45" s="624" t="str">
        <f>IF(AD44&lt;&gt;"",IF(OR(WEEKDAY(DATE($A44,$B44,AD44),2)&gt;6,COUNTIF('休日情報(要更新)'!$A$5:$J$32,DATE($A44,$B44,AD44)) &gt;=1),"○",IF(WEEKDAY(DATE($A44,$B44,AD44),2)=6,"●","")),"×")</f>
        <v/>
      </c>
      <c r="BN45" s="624" t="str">
        <f>IF(AE44&lt;&gt;"",IF(OR(WEEKDAY(DATE($A44,$B44,AE44),2)&gt;6,COUNTIF('休日情報(要更新)'!$A$5:$J$32,DATE($A44,$B44,AE44)) &gt;=1),"○",IF(WEEKDAY(DATE($A44,$B44,AE44),2)=6,"●","")),"×")</f>
        <v/>
      </c>
      <c r="BO45" s="624" t="str">
        <f>IF(AF44&lt;&gt;"",IF(OR(WEEKDAY(DATE($A44,$B44,AF44),2)&gt;6,COUNTIF('休日情報(要更新)'!$A$5:$J$32,DATE($A44,$B44,AF44)) &gt;=1),"○",IF(WEEKDAY(DATE($A44,$B44,AF44),2)=6,"●","")),"×")</f>
        <v/>
      </c>
      <c r="BP45" s="624" t="str">
        <f>IF(AG44&lt;&gt;"",IF(OR(WEEKDAY(DATE($A44,$B44,AG44),2)&gt;6,COUNTIF('休日情報(要更新)'!$A$5:$J$32,DATE($A44,$B44,AG44)) &gt;=1),"○",IF(WEEKDAY(DATE($A44,$B44,AG44),2)=6,"●","")),"×")</f>
        <v>●</v>
      </c>
      <c r="BQ45" s="624" t="str">
        <f>IF(AH44&lt;&gt;"",IF(OR(WEEKDAY(DATE($A44,$B44,AH44),2)&gt;6,COUNTIF('休日情報(要更新)'!$A$5:$J$32,DATE($A44,$B44,AH44)) &gt;=1),"○",IF(WEEKDAY(DATE($A44,$B44,AH44),2)=6,"●","")),"×")</f>
        <v>○</v>
      </c>
      <c r="BR45" s="624" t="str">
        <f>IF(AI44&lt;&gt;"",IF(OR(WEEKDAY(DATE($A44,$B44,AI44),2)&gt;6,COUNTIF('休日情報(要更新)'!$A$5:$J$32,DATE($A44,$B44,AI44)) &gt;=1),"○",IF(WEEKDAY(DATE($A44,$B44,AI44),2)=6,"●","")),"×")</f>
        <v>×</v>
      </c>
    </row>
    <row r="46" spans="1:70" ht="12" customHeight="1">
      <c r="A46" s="2361"/>
      <c r="B46" s="2363"/>
      <c r="C46" s="2370"/>
      <c r="D46" s="626" t="s">
        <v>653</v>
      </c>
      <c r="E46" s="627"/>
      <c r="F46" s="628"/>
      <c r="G46" s="628"/>
      <c r="H46" s="628"/>
      <c r="I46" s="628"/>
      <c r="J46" s="628"/>
      <c r="K46" s="628"/>
      <c r="L46" s="628"/>
      <c r="M46" s="628"/>
      <c r="N46" s="628"/>
      <c r="O46" s="628"/>
      <c r="P46" s="628"/>
      <c r="Q46" s="628"/>
      <c r="R46" s="628"/>
      <c r="S46" s="628"/>
      <c r="T46" s="628"/>
      <c r="U46" s="628"/>
      <c r="V46" s="628"/>
      <c r="W46" s="628"/>
      <c r="X46" s="628"/>
      <c r="Y46" s="628"/>
      <c r="Z46" s="628"/>
      <c r="AA46" s="628"/>
      <c r="AB46" s="628"/>
      <c r="AC46" s="628"/>
      <c r="AD46" s="628"/>
      <c r="AE46" s="628"/>
      <c r="AF46" s="628"/>
      <c r="AG46" s="628"/>
      <c r="AH46" s="628"/>
      <c r="AI46" s="629"/>
      <c r="AJ46" s="630">
        <f>COUNTIFS(AN45:BR45,"",E46:AI46,"○")</f>
        <v>0</v>
      </c>
      <c r="AK46" s="631"/>
    </row>
    <row r="47" spans="1:70" ht="12.75" customHeight="1">
      <c r="A47" s="2361"/>
      <c r="B47" s="2363"/>
      <c r="C47" s="2371"/>
      <c r="D47" s="821" t="s">
        <v>654</v>
      </c>
      <c r="E47" s="822"/>
      <c r="F47" s="823"/>
      <c r="G47" s="823"/>
      <c r="H47" s="823"/>
      <c r="I47" s="823"/>
      <c r="J47" s="823"/>
      <c r="K47" s="823"/>
      <c r="L47" s="823"/>
      <c r="M47" s="823"/>
      <c r="N47" s="823"/>
      <c r="O47" s="823"/>
      <c r="P47" s="823"/>
      <c r="Q47" s="823"/>
      <c r="R47" s="823"/>
      <c r="S47" s="823"/>
      <c r="T47" s="823"/>
      <c r="U47" s="823"/>
      <c r="V47" s="823"/>
      <c r="W47" s="823"/>
      <c r="X47" s="823"/>
      <c r="Y47" s="823"/>
      <c r="Z47" s="823"/>
      <c r="AA47" s="823"/>
      <c r="AB47" s="823"/>
      <c r="AC47" s="823"/>
      <c r="AD47" s="823"/>
      <c r="AE47" s="823"/>
      <c r="AF47" s="823"/>
      <c r="AG47" s="823"/>
      <c r="AH47" s="823"/>
      <c r="AI47" s="824"/>
      <c r="AJ47" s="825">
        <f>COUNTIFS(E46:AI46,"○",AN45:BR45,"",E47:AI47,"○")</f>
        <v>0</v>
      </c>
    </row>
    <row r="48" spans="1:70" ht="12.75" customHeight="1">
      <c r="A48" s="955"/>
      <c r="B48" s="2364"/>
      <c r="C48" s="2372"/>
      <c r="D48" s="633" t="s">
        <v>1182</v>
      </c>
      <c r="E48" s="634"/>
      <c r="F48" s="635"/>
      <c r="G48" s="635"/>
      <c r="H48" s="635"/>
      <c r="I48" s="635"/>
      <c r="J48" s="635"/>
      <c r="K48" s="635"/>
      <c r="L48" s="635"/>
      <c r="M48" s="635"/>
      <c r="N48" s="635"/>
      <c r="O48" s="635"/>
      <c r="P48" s="635"/>
      <c r="Q48" s="635"/>
      <c r="R48" s="635"/>
      <c r="S48" s="635"/>
      <c r="T48" s="635"/>
      <c r="U48" s="635"/>
      <c r="V48" s="635"/>
      <c r="W48" s="635"/>
      <c r="X48" s="635"/>
      <c r="Y48" s="635"/>
      <c r="Z48" s="635"/>
      <c r="AA48" s="635"/>
      <c r="AB48" s="635"/>
      <c r="AC48" s="635"/>
      <c r="AD48" s="635"/>
      <c r="AE48" s="635"/>
      <c r="AF48" s="635"/>
      <c r="AG48" s="635"/>
      <c r="AH48" s="635"/>
      <c r="AI48" s="636"/>
      <c r="AJ48" s="637">
        <f>COUNTIFS(E46:AI46,"○",AN45:BR45,"",E47:AI47,"○",E48:AI48,"○")</f>
        <v>0</v>
      </c>
    </row>
    <row r="49" spans="1:70" ht="12" customHeight="1">
      <c r="A49" s="2361">
        <f>IF($AN$7=0,#REF!,$AN$7)+IF(AND($B49&gt;=1,$B49&lt;=3),1,0)</f>
        <v>2025</v>
      </c>
      <c r="B49" s="2374">
        <v>12</v>
      </c>
      <c r="C49" s="2372" t="s">
        <v>864</v>
      </c>
      <c r="D49" s="826" t="s">
        <v>643</v>
      </c>
      <c r="E49" s="827">
        <v>1</v>
      </c>
      <c r="F49" s="703">
        <v>2</v>
      </c>
      <c r="G49" s="703">
        <v>3</v>
      </c>
      <c r="H49" s="703">
        <v>4</v>
      </c>
      <c r="I49" s="703">
        <v>5</v>
      </c>
      <c r="J49" s="703">
        <v>6</v>
      </c>
      <c r="K49" s="703">
        <v>7</v>
      </c>
      <c r="L49" s="703">
        <v>8</v>
      </c>
      <c r="M49" s="703">
        <v>9</v>
      </c>
      <c r="N49" s="703">
        <v>10</v>
      </c>
      <c r="O49" s="703">
        <v>11</v>
      </c>
      <c r="P49" s="703">
        <v>12</v>
      </c>
      <c r="Q49" s="703">
        <v>13</v>
      </c>
      <c r="R49" s="703">
        <v>14</v>
      </c>
      <c r="S49" s="703">
        <v>15</v>
      </c>
      <c r="T49" s="703">
        <v>16</v>
      </c>
      <c r="U49" s="703">
        <v>17</v>
      </c>
      <c r="V49" s="703">
        <v>18</v>
      </c>
      <c r="W49" s="703">
        <v>19</v>
      </c>
      <c r="X49" s="703">
        <v>20</v>
      </c>
      <c r="Y49" s="703">
        <v>21</v>
      </c>
      <c r="Z49" s="703">
        <v>22</v>
      </c>
      <c r="AA49" s="703">
        <v>23</v>
      </c>
      <c r="AB49" s="703">
        <v>24</v>
      </c>
      <c r="AC49" s="703">
        <v>25</v>
      </c>
      <c r="AD49" s="703">
        <v>26</v>
      </c>
      <c r="AE49" s="703">
        <v>27</v>
      </c>
      <c r="AF49" s="703">
        <v>28</v>
      </c>
      <c r="AG49" s="703">
        <f>IF(MONTH(DATE($A49,B49,AF49+1))=B49,AF49+1,"")</f>
        <v>29</v>
      </c>
      <c r="AH49" s="703">
        <f t="shared" ref="AH49" si="22">IF(B49&lt;&gt;2,IF(AG49&lt;&gt;"",AG49+1,""),"")</f>
        <v>30</v>
      </c>
      <c r="AI49" s="704">
        <f t="shared" ref="AI49" si="23">IF(OR(B49=1,B49=3,B49=5,B49=7,B49=8,B49=10,B49=12),AH49+1,"")</f>
        <v>31</v>
      </c>
      <c r="AJ49" s="2373" t="s">
        <v>22</v>
      </c>
      <c r="AK49" s="623"/>
      <c r="AL49" s="2369" t="s">
        <v>444</v>
      </c>
      <c r="AM49" s="2369"/>
      <c r="AN49" s="624">
        <v>1</v>
      </c>
      <c r="AO49" s="624">
        <v>2</v>
      </c>
      <c r="AP49" s="624">
        <v>3</v>
      </c>
      <c r="AQ49" s="624">
        <v>4</v>
      </c>
      <c r="AR49" s="624">
        <v>5</v>
      </c>
      <c r="AS49" s="624">
        <v>6</v>
      </c>
      <c r="AT49" s="624">
        <v>7</v>
      </c>
      <c r="AU49" s="624">
        <v>8</v>
      </c>
      <c r="AV49" s="624">
        <v>9</v>
      </c>
      <c r="AW49" s="624">
        <v>10</v>
      </c>
      <c r="AX49" s="624">
        <v>11</v>
      </c>
      <c r="AY49" s="624">
        <v>12</v>
      </c>
      <c r="AZ49" s="624">
        <v>13</v>
      </c>
      <c r="BA49" s="624">
        <v>14</v>
      </c>
      <c r="BB49" s="624">
        <v>15</v>
      </c>
      <c r="BC49" s="624">
        <v>16</v>
      </c>
      <c r="BD49" s="624">
        <v>17</v>
      </c>
      <c r="BE49" s="624">
        <v>18</v>
      </c>
      <c r="BF49" s="624">
        <v>19</v>
      </c>
      <c r="BG49" s="624">
        <v>20</v>
      </c>
      <c r="BH49" s="624">
        <v>21</v>
      </c>
      <c r="BI49" s="624">
        <v>22</v>
      </c>
      <c r="BJ49" s="624">
        <v>23</v>
      </c>
      <c r="BK49" s="624">
        <v>24</v>
      </c>
      <c r="BL49" s="624">
        <v>25</v>
      </c>
      <c r="BM49" s="624">
        <v>26</v>
      </c>
      <c r="BN49" s="624">
        <v>27</v>
      </c>
      <c r="BO49" s="624">
        <v>28</v>
      </c>
      <c r="BP49" s="624">
        <v>29</v>
      </c>
      <c r="BQ49" s="624">
        <v>30</v>
      </c>
      <c r="BR49" s="624">
        <v>31</v>
      </c>
    </row>
    <row r="50" spans="1:70" ht="12" customHeight="1">
      <c r="A50" s="2361"/>
      <c r="B50" s="2363"/>
      <c r="C50" s="2366"/>
      <c r="D50" s="625" t="s">
        <v>445</v>
      </c>
      <c r="E50" s="966" t="str">
        <f t="shared" ref="E50:AI50" si="24">IF(E49&lt;&gt;"",HLOOKUP(WEEKDAY(DATE($A49,$B49,E49)),$AP$1:$AV$2,2,FALSE),"")</f>
        <v>（月）</v>
      </c>
      <c r="F50" s="964" t="str">
        <f t="shared" si="24"/>
        <v>（火）</v>
      </c>
      <c r="G50" s="964" t="str">
        <f t="shared" si="24"/>
        <v>（水）</v>
      </c>
      <c r="H50" s="964" t="str">
        <f t="shared" si="24"/>
        <v>（木）</v>
      </c>
      <c r="I50" s="964" t="str">
        <f t="shared" si="24"/>
        <v>（金）</v>
      </c>
      <c r="J50" s="964" t="str">
        <f t="shared" si="24"/>
        <v>（土）</v>
      </c>
      <c r="K50" s="964" t="str">
        <f t="shared" si="24"/>
        <v>（日）</v>
      </c>
      <c r="L50" s="964" t="str">
        <f t="shared" si="24"/>
        <v>（月）</v>
      </c>
      <c r="M50" s="964" t="str">
        <f t="shared" si="24"/>
        <v>（火）</v>
      </c>
      <c r="N50" s="964" t="str">
        <f t="shared" si="24"/>
        <v>（水）</v>
      </c>
      <c r="O50" s="964" t="str">
        <f t="shared" si="24"/>
        <v>（木）</v>
      </c>
      <c r="P50" s="964" t="str">
        <f t="shared" si="24"/>
        <v>（金）</v>
      </c>
      <c r="Q50" s="964" t="str">
        <f t="shared" si="24"/>
        <v>（土）</v>
      </c>
      <c r="R50" s="964" t="str">
        <f t="shared" si="24"/>
        <v>（日）</v>
      </c>
      <c r="S50" s="964" t="str">
        <f t="shared" si="24"/>
        <v>（月）</v>
      </c>
      <c r="T50" s="964" t="str">
        <f t="shared" si="24"/>
        <v>（火）</v>
      </c>
      <c r="U50" s="964" t="str">
        <f t="shared" si="24"/>
        <v>（水）</v>
      </c>
      <c r="V50" s="964" t="str">
        <f t="shared" si="24"/>
        <v>（木）</v>
      </c>
      <c r="W50" s="964" t="str">
        <f t="shared" si="24"/>
        <v>（金）</v>
      </c>
      <c r="X50" s="964" t="str">
        <f t="shared" si="24"/>
        <v>（土）</v>
      </c>
      <c r="Y50" s="964" t="str">
        <f t="shared" si="24"/>
        <v>（日）</v>
      </c>
      <c r="Z50" s="964" t="str">
        <f t="shared" si="24"/>
        <v>（月）</v>
      </c>
      <c r="AA50" s="964" t="str">
        <f t="shared" si="24"/>
        <v>（火）</v>
      </c>
      <c r="AB50" s="964" t="str">
        <f t="shared" si="24"/>
        <v>（水）</v>
      </c>
      <c r="AC50" s="964" t="str">
        <f t="shared" si="24"/>
        <v>（木）</v>
      </c>
      <c r="AD50" s="964" t="str">
        <f t="shared" si="24"/>
        <v>（金）</v>
      </c>
      <c r="AE50" s="964" t="str">
        <f t="shared" si="24"/>
        <v>（土）</v>
      </c>
      <c r="AF50" s="964" t="str">
        <f t="shared" si="24"/>
        <v>（日）</v>
      </c>
      <c r="AG50" s="964" t="str">
        <f t="shared" si="24"/>
        <v>（月）</v>
      </c>
      <c r="AH50" s="964" t="str">
        <f t="shared" si="24"/>
        <v>（火）</v>
      </c>
      <c r="AI50" s="967" t="str">
        <f t="shared" si="24"/>
        <v>（水）</v>
      </c>
      <c r="AJ50" s="2368"/>
      <c r="AK50" s="623"/>
      <c r="AL50" s="2369" t="s">
        <v>641</v>
      </c>
      <c r="AM50" s="2369"/>
      <c r="AN50" s="624" t="str">
        <f>IF(E49&lt;&gt;"",IF(OR(WEEKDAY(DATE($A49,$B49,E49),2)&gt;6,COUNTIF('休日情報(要更新)'!$A$5:$J$32,DATE($A49,$B49,E49)) &gt;=1),"○",IF(WEEKDAY(DATE($A49,$B49,E49),2)=6,"●","")),"×")</f>
        <v/>
      </c>
      <c r="AO50" s="624" t="str">
        <f>IF(F49&lt;&gt;"",IF(OR(WEEKDAY(DATE($A49,$B49,F49),2)&gt;6,COUNTIF('休日情報(要更新)'!$A$5:$J$32,DATE($A49,$B49,F49)) &gt;=1),"○",IF(WEEKDAY(DATE($A49,$B49,F49),2)=6,"●","")),"×")</f>
        <v/>
      </c>
      <c r="AP50" s="624" t="str">
        <f>IF(G49&lt;&gt;"",IF(OR(WEEKDAY(DATE($A49,$B49,G49),2)&gt;6,COUNTIF('休日情報(要更新)'!$A$5:$J$32,DATE($A49,$B49,G49)) &gt;=1),"○",IF(WEEKDAY(DATE($A49,$B49,G49),2)=6,"●","")),"×")</f>
        <v/>
      </c>
      <c r="AQ50" s="624" t="str">
        <f>IF(H49&lt;&gt;"",IF(OR(WEEKDAY(DATE($A49,$B49,H49),2)&gt;6,COUNTIF('休日情報(要更新)'!$A$5:$J$32,DATE($A49,$B49,H49)) &gt;=1),"○",IF(WEEKDAY(DATE($A49,$B49,H49),2)=6,"●","")),"×")</f>
        <v/>
      </c>
      <c r="AR50" s="624" t="str">
        <f>IF(I49&lt;&gt;"",IF(OR(WEEKDAY(DATE($A49,$B49,I49),2)&gt;6,COUNTIF('休日情報(要更新)'!$A$5:$J$32,DATE($A49,$B49,I49)) &gt;=1),"○",IF(WEEKDAY(DATE($A49,$B49,I49),2)=6,"●","")),"×")</f>
        <v/>
      </c>
      <c r="AS50" s="624" t="str">
        <f>IF(J49&lt;&gt;"",IF(OR(WEEKDAY(DATE($A49,$B49,J49),2)&gt;6,COUNTIF('休日情報(要更新)'!$A$5:$J$32,DATE($A49,$B49,J49)) &gt;=1),"○",IF(WEEKDAY(DATE($A49,$B49,J49),2)=6,"●","")),"×")</f>
        <v>●</v>
      </c>
      <c r="AT50" s="624" t="str">
        <f>IF(K49&lt;&gt;"",IF(OR(WEEKDAY(DATE($A49,$B49,K49),2)&gt;6,COUNTIF('休日情報(要更新)'!$A$5:$J$32,DATE($A49,$B49,K49)) &gt;=1),"○",IF(WEEKDAY(DATE($A49,$B49,K49),2)=6,"●","")),"×")</f>
        <v>○</v>
      </c>
      <c r="AU50" s="624" t="str">
        <f>IF(L49&lt;&gt;"",IF(OR(WEEKDAY(DATE($A49,$B49,L49),2)&gt;6,COUNTIF('休日情報(要更新)'!$A$5:$J$32,DATE($A49,$B49,L49)) &gt;=1),"○",IF(WEEKDAY(DATE($A49,$B49,L49),2)=6,"●","")),"×")</f>
        <v/>
      </c>
      <c r="AV50" s="624" t="str">
        <f>IF(M49&lt;&gt;"",IF(OR(WEEKDAY(DATE($A49,$B49,M49),2)&gt;6,COUNTIF('休日情報(要更新)'!$A$5:$J$32,DATE($A49,$B49,M49)) &gt;=1),"○",IF(WEEKDAY(DATE($A49,$B49,M49),2)=6,"●","")),"×")</f>
        <v/>
      </c>
      <c r="AW50" s="624" t="str">
        <f>IF(N49&lt;&gt;"",IF(OR(WEEKDAY(DATE($A49,$B49,N49),2)&gt;6,COUNTIF('休日情報(要更新)'!$A$5:$J$32,DATE($A49,$B49,N49)) &gt;=1),"○",IF(WEEKDAY(DATE($A49,$B49,N49),2)=6,"●","")),"×")</f>
        <v/>
      </c>
      <c r="AX50" s="624" t="str">
        <f>IF(O49&lt;&gt;"",IF(OR(WEEKDAY(DATE($A49,$B49,O49),2)&gt;6,COUNTIF('休日情報(要更新)'!$A$5:$J$32,DATE($A49,$B49,O49)) &gt;=1),"○",IF(WEEKDAY(DATE($A49,$B49,O49),2)=6,"●","")),"×")</f>
        <v/>
      </c>
      <c r="AY50" s="624" t="str">
        <f>IF(P49&lt;&gt;"",IF(OR(WEEKDAY(DATE($A49,$B49,P49),2)&gt;6,COUNTIF('休日情報(要更新)'!$A$5:$J$32,DATE($A49,$B49,P49)) &gt;=1),"○",IF(WEEKDAY(DATE($A49,$B49,P49),2)=6,"●","")),"×")</f>
        <v/>
      </c>
      <c r="AZ50" s="624" t="str">
        <f>IF(Q49&lt;&gt;"",IF(OR(WEEKDAY(DATE($A49,$B49,Q49),2)&gt;6,COUNTIF('休日情報(要更新)'!$A$5:$J$32,DATE($A49,$B49,Q49)) &gt;=1),"○",IF(WEEKDAY(DATE($A49,$B49,Q49),2)=6,"●","")),"×")</f>
        <v>●</v>
      </c>
      <c r="BA50" s="624" t="str">
        <f>IF(R49&lt;&gt;"",IF(OR(WEEKDAY(DATE($A49,$B49,R49),2)&gt;6,COUNTIF('休日情報(要更新)'!$A$5:$J$32,DATE($A49,$B49,R49)) &gt;=1),"○",IF(WEEKDAY(DATE($A49,$B49,R49),2)=6,"●","")),"×")</f>
        <v>○</v>
      </c>
      <c r="BB50" s="624" t="str">
        <f>IF(S49&lt;&gt;"",IF(OR(WEEKDAY(DATE($A49,$B49,S49),2)&gt;6,COUNTIF('休日情報(要更新)'!$A$5:$J$32,DATE($A49,$B49,S49)) &gt;=1),"○",IF(WEEKDAY(DATE($A49,$B49,S49),2)=6,"●","")),"×")</f>
        <v/>
      </c>
      <c r="BC50" s="624" t="str">
        <f>IF(T49&lt;&gt;"",IF(OR(WEEKDAY(DATE($A49,$B49,T49),2)&gt;6,COUNTIF('休日情報(要更新)'!$A$5:$J$32,DATE($A49,$B49,T49)) &gt;=1),"○",IF(WEEKDAY(DATE($A49,$B49,T49),2)=6,"●","")),"×")</f>
        <v/>
      </c>
      <c r="BD50" s="624" t="str">
        <f>IF(U49&lt;&gt;"",IF(OR(WEEKDAY(DATE($A49,$B49,U49),2)&gt;6,COUNTIF('休日情報(要更新)'!$A$5:$J$32,DATE($A49,$B49,U49)) &gt;=1),"○",IF(WEEKDAY(DATE($A49,$B49,U49),2)=6,"●","")),"×")</f>
        <v/>
      </c>
      <c r="BE50" s="624" t="str">
        <f>IF(V49&lt;&gt;"",IF(OR(WEEKDAY(DATE($A49,$B49,V49),2)&gt;6,COUNTIF('休日情報(要更新)'!$A$5:$J$32,DATE($A49,$B49,V49)) &gt;=1),"○",IF(WEEKDAY(DATE($A49,$B49,V49),2)=6,"●","")),"×")</f>
        <v/>
      </c>
      <c r="BF50" s="624" t="str">
        <f>IF(W49&lt;&gt;"",IF(OR(WEEKDAY(DATE($A49,$B49,W49),2)&gt;6,COUNTIF('休日情報(要更新)'!$A$5:$J$32,DATE($A49,$B49,W49)) &gt;=1),"○",IF(WEEKDAY(DATE($A49,$B49,W49),2)=6,"●","")),"×")</f>
        <v/>
      </c>
      <c r="BG50" s="624" t="str">
        <f>IF(X49&lt;&gt;"",IF(OR(WEEKDAY(DATE($A49,$B49,X49),2)&gt;6,COUNTIF('休日情報(要更新)'!$A$5:$J$32,DATE($A49,$B49,X49)) &gt;=1),"○",IF(WEEKDAY(DATE($A49,$B49,X49),2)=6,"●","")),"×")</f>
        <v>●</v>
      </c>
      <c r="BH50" s="624" t="str">
        <f>IF(Y49&lt;&gt;"",IF(OR(WEEKDAY(DATE($A49,$B49,Y49),2)&gt;6,COUNTIF('休日情報(要更新)'!$A$5:$J$32,DATE($A49,$B49,Y49)) &gt;=1),"○",IF(WEEKDAY(DATE($A49,$B49,Y49),2)=6,"●","")),"×")</f>
        <v>○</v>
      </c>
      <c r="BI50" s="624" t="str">
        <f>IF(Z49&lt;&gt;"",IF(OR(WEEKDAY(DATE($A49,$B49,Z49),2)&gt;6,COUNTIF('休日情報(要更新)'!$A$5:$J$32,DATE($A49,$B49,Z49)) &gt;=1),"○",IF(WEEKDAY(DATE($A49,$B49,Z49),2)=6,"●","")),"×")</f>
        <v/>
      </c>
      <c r="BJ50" s="624" t="str">
        <f>IF(AA49&lt;&gt;"",IF(OR(WEEKDAY(DATE($A49,$B49,AA49),2)&gt;6,COUNTIF('休日情報(要更新)'!$A$5:$J$32,DATE($A49,$B49,AA49)) &gt;=1),"○",IF(WEEKDAY(DATE($A49,$B49,AA49),2)=6,"●","")),"×")</f>
        <v/>
      </c>
      <c r="BK50" s="624" t="str">
        <f>IF(AB49&lt;&gt;"",IF(OR(WEEKDAY(DATE($A49,$B49,AB49),2)&gt;6,COUNTIF('休日情報(要更新)'!$A$5:$J$32,DATE($A49,$B49,AB49)) &gt;=1),"○",IF(WEEKDAY(DATE($A49,$B49,AB49),2)=6,"●","")),"×")</f>
        <v/>
      </c>
      <c r="BL50" s="624" t="str">
        <f>IF(AC49&lt;&gt;"",IF(OR(WEEKDAY(DATE($A49,$B49,AC49),2)&gt;6,COUNTIF('休日情報(要更新)'!$A$5:$J$32,DATE($A49,$B49,AC49)) &gt;=1),"○",IF(WEEKDAY(DATE($A49,$B49,AC49),2)=6,"●","")),"×")</f>
        <v/>
      </c>
      <c r="BM50" s="624" t="str">
        <f>IF(AD49&lt;&gt;"",IF(OR(WEEKDAY(DATE($A49,$B49,AD49),2)&gt;6,COUNTIF('休日情報(要更新)'!$A$5:$J$32,DATE($A49,$B49,AD49)) &gt;=1),"○",IF(WEEKDAY(DATE($A49,$B49,AD49),2)=6,"●","")),"×")</f>
        <v/>
      </c>
      <c r="BN50" s="624" t="str">
        <f>IF(AE49&lt;&gt;"",IF(OR(WEEKDAY(DATE($A49,$B49,AE49),2)&gt;6,COUNTIF('休日情報(要更新)'!$A$5:$J$32,DATE($A49,$B49,AE49)) &gt;=1),"○",IF(WEEKDAY(DATE($A49,$B49,AE49),2)=6,"●","")),"×")</f>
        <v>●</v>
      </c>
      <c r="BO50" s="624" t="str">
        <f>IF(AF49&lt;&gt;"",IF(OR(WEEKDAY(DATE($A49,$B49,AF49),2)&gt;6,COUNTIF('休日情報(要更新)'!$A$5:$J$32,DATE($A49,$B49,AF49)) &gt;=1),"○",IF(WEEKDAY(DATE($A49,$B49,AF49),2)=6,"●","")),"×")</f>
        <v>○</v>
      </c>
      <c r="BP50" s="624" t="str">
        <f>IF(AG49&lt;&gt;"",IF(OR(WEEKDAY(DATE($A49,$B49,AG49),2)&gt;6,COUNTIF('休日情報(要更新)'!$A$5:$J$32,DATE($A49,$B49,AG49)) &gt;=1),"○",IF(WEEKDAY(DATE($A49,$B49,AG49),2)=6,"●","")),"×")</f>
        <v/>
      </c>
      <c r="BQ50" s="624" t="str">
        <f>IF(AH49&lt;&gt;"",IF(OR(WEEKDAY(DATE($A49,$B49,AH49),2)&gt;6,COUNTIF('休日情報(要更新)'!$A$5:$J$32,DATE($A49,$B49,AH49)) &gt;=1),"○",IF(WEEKDAY(DATE($A49,$B49,AH49),2)=6,"●","")),"×")</f>
        <v/>
      </c>
      <c r="BR50" s="624" t="str">
        <f>IF(AI49&lt;&gt;"",IF(OR(WEEKDAY(DATE($A49,$B49,AI49),2)&gt;6,COUNTIF('休日情報(要更新)'!$A$5:$J$32,DATE($A49,$B49,AI49)) &gt;=1),"○",IF(WEEKDAY(DATE($A49,$B49,AI49),2)=6,"●","")),"×")</f>
        <v/>
      </c>
    </row>
    <row r="51" spans="1:70" ht="12" customHeight="1">
      <c r="A51" s="2361"/>
      <c r="B51" s="2363"/>
      <c r="C51" s="2370"/>
      <c r="D51" s="626" t="s">
        <v>653</v>
      </c>
      <c r="E51" s="627"/>
      <c r="F51" s="628"/>
      <c r="G51" s="628"/>
      <c r="H51" s="628"/>
      <c r="I51" s="628"/>
      <c r="J51" s="628"/>
      <c r="K51" s="628"/>
      <c r="L51" s="628"/>
      <c r="M51" s="628"/>
      <c r="N51" s="628"/>
      <c r="O51" s="628"/>
      <c r="P51" s="628"/>
      <c r="Q51" s="628"/>
      <c r="R51" s="628"/>
      <c r="S51" s="628"/>
      <c r="T51" s="628"/>
      <c r="U51" s="628"/>
      <c r="V51" s="628"/>
      <c r="W51" s="628"/>
      <c r="X51" s="628"/>
      <c r="Y51" s="628"/>
      <c r="Z51" s="628"/>
      <c r="AA51" s="628"/>
      <c r="AB51" s="628"/>
      <c r="AC51" s="628"/>
      <c r="AD51" s="628"/>
      <c r="AE51" s="628"/>
      <c r="AF51" s="628"/>
      <c r="AG51" s="628"/>
      <c r="AH51" s="628"/>
      <c r="AI51" s="629"/>
      <c r="AJ51" s="630">
        <f>COUNTIFS(AN50:BR50,"",E51:AI51,"○")</f>
        <v>0</v>
      </c>
      <c r="AK51" s="631"/>
    </row>
    <row r="52" spans="1:70" ht="12.75" customHeight="1">
      <c r="A52" s="2361"/>
      <c r="B52" s="2363"/>
      <c r="C52" s="2371"/>
      <c r="D52" s="821" t="s">
        <v>654</v>
      </c>
      <c r="E52" s="822"/>
      <c r="F52" s="823"/>
      <c r="G52" s="823"/>
      <c r="H52" s="823"/>
      <c r="I52" s="823"/>
      <c r="J52" s="823"/>
      <c r="K52" s="823"/>
      <c r="L52" s="823"/>
      <c r="M52" s="823"/>
      <c r="N52" s="823"/>
      <c r="O52" s="823"/>
      <c r="P52" s="823"/>
      <c r="Q52" s="823"/>
      <c r="R52" s="823"/>
      <c r="S52" s="823"/>
      <c r="T52" s="823"/>
      <c r="U52" s="823"/>
      <c r="V52" s="823"/>
      <c r="W52" s="823"/>
      <c r="X52" s="823"/>
      <c r="Y52" s="823"/>
      <c r="Z52" s="823"/>
      <c r="AA52" s="823"/>
      <c r="AB52" s="823"/>
      <c r="AC52" s="823"/>
      <c r="AD52" s="823"/>
      <c r="AE52" s="823"/>
      <c r="AF52" s="823"/>
      <c r="AG52" s="823"/>
      <c r="AH52" s="823"/>
      <c r="AI52" s="824"/>
      <c r="AJ52" s="825">
        <f>COUNTIFS(E51:AI51,"○",AN50:BR50,"",E52:AI52,"○")</f>
        <v>0</v>
      </c>
    </row>
    <row r="53" spans="1:70" ht="12.75" customHeight="1">
      <c r="A53" s="955"/>
      <c r="B53" s="2364"/>
      <c r="C53" s="2372"/>
      <c r="D53" s="633" t="s">
        <v>1182</v>
      </c>
      <c r="E53" s="634"/>
      <c r="F53" s="635"/>
      <c r="G53" s="635"/>
      <c r="H53" s="635"/>
      <c r="I53" s="635"/>
      <c r="J53" s="635"/>
      <c r="K53" s="635"/>
      <c r="L53" s="635"/>
      <c r="M53" s="635"/>
      <c r="N53" s="635"/>
      <c r="O53" s="635"/>
      <c r="P53" s="635"/>
      <c r="Q53" s="635"/>
      <c r="R53" s="635"/>
      <c r="S53" s="635"/>
      <c r="T53" s="635"/>
      <c r="U53" s="635"/>
      <c r="V53" s="635"/>
      <c r="W53" s="635"/>
      <c r="X53" s="635"/>
      <c r="Y53" s="635"/>
      <c r="Z53" s="635"/>
      <c r="AA53" s="635"/>
      <c r="AB53" s="635"/>
      <c r="AC53" s="635"/>
      <c r="AD53" s="635"/>
      <c r="AE53" s="635"/>
      <c r="AF53" s="635"/>
      <c r="AG53" s="635"/>
      <c r="AH53" s="635"/>
      <c r="AI53" s="636"/>
      <c r="AJ53" s="637">
        <f>COUNTIFS(E51:AI51,"○",AN50:BR50,"",E52:AI52,"○",E53:AI53,"○")</f>
        <v>0</v>
      </c>
    </row>
    <row r="54" spans="1:70" ht="12" customHeight="1">
      <c r="A54" s="2361">
        <f>IF($AN$7=0,#REF!,$AN$7)+IF(AND($B54&gt;=1,$B54&lt;=3),1,0)</f>
        <v>2026</v>
      </c>
      <c r="B54" s="2374">
        <v>1</v>
      </c>
      <c r="C54" s="2372" t="s">
        <v>864</v>
      </c>
      <c r="D54" s="826" t="s">
        <v>643</v>
      </c>
      <c r="E54" s="827">
        <v>1</v>
      </c>
      <c r="F54" s="703">
        <v>2</v>
      </c>
      <c r="G54" s="703">
        <v>3</v>
      </c>
      <c r="H54" s="703">
        <v>4</v>
      </c>
      <c r="I54" s="703">
        <v>5</v>
      </c>
      <c r="J54" s="703">
        <v>6</v>
      </c>
      <c r="K54" s="703">
        <v>7</v>
      </c>
      <c r="L54" s="703">
        <v>8</v>
      </c>
      <c r="M54" s="703">
        <v>9</v>
      </c>
      <c r="N54" s="703">
        <v>10</v>
      </c>
      <c r="O54" s="703">
        <v>11</v>
      </c>
      <c r="P54" s="703">
        <v>12</v>
      </c>
      <c r="Q54" s="703">
        <v>13</v>
      </c>
      <c r="R54" s="703">
        <v>14</v>
      </c>
      <c r="S54" s="703">
        <v>15</v>
      </c>
      <c r="T54" s="703">
        <v>16</v>
      </c>
      <c r="U54" s="703">
        <v>17</v>
      </c>
      <c r="V54" s="703">
        <v>18</v>
      </c>
      <c r="W54" s="703">
        <v>19</v>
      </c>
      <c r="X54" s="703">
        <v>20</v>
      </c>
      <c r="Y54" s="703">
        <v>21</v>
      </c>
      <c r="Z54" s="703">
        <v>22</v>
      </c>
      <c r="AA54" s="703">
        <v>23</v>
      </c>
      <c r="AB54" s="703">
        <v>24</v>
      </c>
      <c r="AC54" s="703">
        <v>25</v>
      </c>
      <c r="AD54" s="703">
        <v>26</v>
      </c>
      <c r="AE54" s="703">
        <v>27</v>
      </c>
      <c r="AF54" s="703">
        <v>28</v>
      </c>
      <c r="AG54" s="703">
        <f>IF(MONTH(DATE($A54,B54,AF54+1))=B54,AF54+1,"")</f>
        <v>29</v>
      </c>
      <c r="AH54" s="703">
        <f t="shared" ref="AH54" si="25">IF(B54&lt;&gt;2,IF(AG54&lt;&gt;"",AG54+1,""),"")</f>
        <v>30</v>
      </c>
      <c r="AI54" s="704">
        <f t="shared" ref="AI54" si="26">IF(OR(B54=1,B54=3,B54=5,B54=7,B54=8,B54=10,B54=12),AH54+1,"")</f>
        <v>31</v>
      </c>
      <c r="AJ54" s="2373" t="s">
        <v>22</v>
      </c>
      <c r="AK54" s="623"/>
      <c r="AL54" s="2369" t="s">
        <v>444</v>
      </c>
      <c r="AM54" s="2369"/>
      <c r="AN54" s="624">
        <v>1</v>
      </c>
      <c r="AO54" s="624">
        <v>2</v>
      </c>
      <c r="AP54" s="624">
        <v>3</v>
      </c>
      <c r="AQ54" s="624">
        <v>4</v>
      </c>
      <c r="AR54" s="624">
        <v>5</v>
      </c>
      <c r="AS54" s="624">
        <v>6</v>
      </c>
      <c r="AT54" s="624">
        <v>7</v>
      </c>
      <c r="AU54" s="624">
        <v>8</v>
      </c>
      <c r="AV54" s="624">
        <v>9</v>
      </c>
      <c r="AW54" s="624">
        <v>10</v>
      </c>
      <c r="AX54" s="624">
        <v>11</v>
      </c>
      <c r="AY54" s="624">
        <v>12</v>
      </c>
      <c r="AZ54" s="624">
        <v>13</v>
      </c>
      <c r="BA54" s="624">
        <v>14</v>
      </c>
      <c r="BB54" s="624">
        <v>15</v>
      </c>
      <c r="BC54" s="624">
        <v>16</v>
      </c>
      <c r="BD54" s="624">
        <v>17</v>
      </c>
      <c r="BE54" s="624">
        <v>18</v>
      </c>
      <c r="BF54" s="624">
        <v>19</v>
      </c>
      <c r="BG54" s="624">
        <v>20</v>
      </c>
      <c r="BH54" s="624">
        <v>21</v>
      </c>
      <c r="BI54" s="624">
        <v>22</v>
      </c>
      <c r="BJ54" s="624">
        <v>23</v>
      </c>
      <c r="BK54" s="624">
        <v>24</v>
      </c>
      <c r="BL54" s="624">
        <v>25</v>
      </c>
      <c r="BM54" s="624">
        <v>26</v>
      </c>
      <c r="BN54" s="624">
        <v>27</v>
      </c>
      <c r="BO54" s="624">
        <v>28</v>
      </c>
      <c r="BP54" s="624">
        <v>29</v>
      </c>
      <c r="BQ54" s="624">
        <v>30</v>
      </c>
      <c r="BR54" s="624">
        <v>31</v>
      </c>
    </row>
    <row r="55" spans="1:70" ht="12" customHeight="1">
      <c r="A55" s="2361"/>
      <c r="B55" s="2363"/>
      <c r="C55" s="2366"/>
      <c r="D55" s="625" t="s">
        <v>445</v>
      </c>
      <c r="E55" s="966" t="str">
        <f t="shared" ref="E55:AI55" si="27">IF(E54&lt;&gt;"",HLOOKUP(WEEKDAY(DATE($A54,$B54,E54)),$AP$1:$AV$2,2,FALSE),"")</f>
        <v>（木）</v>
      </c>
      <c r="F55" s="964" t="str">
        <f t="shared" si="27"/>
        <v>（金）</v>
      </c>
      <c r="G55" s="964" t="str">
        <f t="shared" si="27"/>
        <v>（土）</v>
      </c>
      <c r="H55" s="964" t="str">
        <f t="shared" si="27"/>
        <v>（日）</v>
      </c>
      <c r="I55" s="964" t="str">
        <f t="shared" si="27"/>
        <v>（月）</v>
      </c>
      <c r="J55" s="964" t="str">
        <f t="shared" si="27"/>
        <v>（火）</v>
      </c>
      <c r="K55" s="964" t="str">
        <f t="shared" si="27"/>
        <v>（水）</v>
      </c>
      <c r="L55" s="964" t="str">
        <f t="shared" si="27"/>
        <v>（木）</v>
      </c>
      <c r="M55" s="964" t="str">
        <f t="shared" si="27"/>
        <v>（金）</v>
      </c>
      <c r="N55" s="964" t="str">
        <f t="shared" si="27"/>
        <v>（土）</v>
      </c>
      <c r="O55" s="964" t="str">
        <f t="shared" si="27"/>
        <v>（日）</v>
      </c>
      <c r="P55" s="964" t="str">
        <f t="shared" si="27"/>
        <v>（月）</v>
      </c>
      <c r="Q55" s="964" t="str">
        <f t="shared" si="27"/>
        <v>（火）</v>
      </c>
      <c r="R55" s="964" t="str">
        <f t="shared" si="27"/>
        <v>（水）</v>
      </c>
      <c r="S55" s="964" t="str">
        <f t="shared" si="27"/>
        <v>（木）</v>
      </c>
      <c r="T55" s="964" t="str">
        <f t="shared" si="27"/>
        <v>（金）</v>
      </c>
      <c r="U55" s="964" t="str">
        <f t="shared" si="27"/>
        <v>（土）</v>
      </c>
      <c r="V55" s="964" t="str">
        <f t="shared" si="27"/>
        <v>（日）</v>
      </c>
      <c r="W55" s="964" t="str">
        <f t="shared" si="27"/>
        <v>（月）</v>
      </c>
      <c r="X55" s="964" t="str">
        <f t="shared" si="27"/>
        <v>（火）</v>
      </c>
      <c r="Y55" s="964" t="str">
        <f t="shared" si="27"/>
        <v>（水）</v>
      </c>
      <c r="Z55" s="964" t="str">
        <f t="shared" si="27"/>
        <v>（木）</v>
      </c>
      <c r="AA55" s="964" t="str">
        <f t="shared" si="27"/>
        <v>（金）</v>
      </c>
      <c r="AB55" s="964" t="str">
        <f t="shared" si="27"/>
        <v>（土）</v>
      </c>
      <c r="AC55" s="964" t="str">
        <f t="shared" si="27"/>
        <v>（日）</v>
      </c>
      <c r="AD55" s="964" t="str">
        <f t="shared" si="27"/>
        <v>（月）</v>
      </c>
      <c r="AE55" s="964" t="str">
        <f t="shared" si="27"/>
        <v>（火）</v>
      </c>
      <c r="AF55" s="964" t="str">
        <f t="shared" si="27"/>
        <v>（水）</v>
      </c>
      <c r="AG55" s="964" t="str">
        <f t="shared" si="27"/>
        <v>（木）</v>
      </c>
      <c r="AH55" s="964" t="str">
        <f t="shared" si="27"/>
        <v>（金）</v>
      </c>
      <c r="AI55" s="967" t="str">
        <f t="shared" si="27"/>
        <v>（土）</v>
      </c>
      <c r="AJ55" s="2368"/>
      <c r="AK55" s="623"/>
      <c r="AL55" s="2369" t="s">
        <v>641</v>
      </c>
      <c r="AM55" s="2369"/>
      <c r="AN55" s="624" t="str">
        <f>IF(E54&lt;&gt;"",IF(OR(WEEKDAY(DATE($A54,$B54,E54),2)&gt;6,COUNTIF('休日情報(要更新)'!$A$5:$J$32,DATE($A54,$B54,E54)) &gt;=1),"○",IF(WEEKDAY(DATE($A54,$B54,E54),2)=6,"●","")),"×")</f>
        <v>○</v>
      </c>
      <c r="AO55" s="624" t="str">
        <f>IF(F54&lt;&gt;"",IF(OR(WEEKDAY(DATE($A54,$B54,F54),2)&gt;6,COUNTIF('休日情報(要更新)'!$A$5:$J$32,DATE($A54,$B54,F54)) &gt;=1),"○",IF(WEEKDAY(DATE($A54,$B54,F54),2)=6,"●","")),"×")</f>
        <v/>
      </c>
      <c r="AP55" s="624" t="str">
        <f>IF(G54&lt;&gt;"",IF(OR(WEEKDAY(DATE($A54,$B54,G54),2)&gt;6,COUNTIF('休日情報(要更新)'!$A$5:$J$32,DATE($A54,$B54,G54)) &gt;=1),"○",IF(WEEKDAY(DATE($A54,$B54,G54),2)=6,"●","")),"×")</f>
        <v>○</v>
      </c>
      <c r="AQ55" s="624" t="str">
        <f>IF(H54&lt;&gt;"",IF(OR(WEEKDAY(DATE($A54,$B54,H54),2)&gt;6,COUNTIF('休日情報(要更新)'!$A$5:$J$32,DATE($A54,$B54,H54)) &gt;=1),"○",IF(WEEKDAY(DATE($A54,$B54,H54),2)=6,"●","")),"×")</f>
        <v>○</v>
      </c>
      <c r="AR55" s="624" t="str">
        <f>IF(I54&lt;&gt;"",IF(OR(WEEKDAY(DATE($A54,$B54,I54),2)&gt;6,COUNTIF('休日情報(要更新)'!$A$5:$J$32,DATE($A54,$B54,I54)) &gt;=1),"○",IF(WEEKDAY(DATE($A54,$B54,I54),2)=6,"●","")),"×")</f>
        <v/>
      </c>
      <c r="AS55" s="624" t="str">
        <f>IF(J54&lt;&gt;"",IF(OR(WEEKDAY(DATE($A54,$B54,J54),2)&gt;6,COUNTIF('休日情報(要更新)'!$A$5:$J$32,DATE($A54,$B54,J54)) &gt;=1),"○",IF(WEEKDAY(DATE($A54,$B54,J54),2)=6,"●","")),"×")</f>
        <v/>
      </c>
      <c r="AT55" s="624" t="str">
        <f>IF(K54&lt;&gt;"",IF(OR(WEEKDAY(DATE($A54,$B54,K54),2)&gt;6,COUNTIF('休日情報(要更新)'!$A$5:$J$32,DATE($A54,$B54,K54)) &gt;=1),"○",IF(WEEKDAY(DATE($A54,$B54,K54),2)=6,"●","")),"×")</f>
        <v/>
      </c>
      <c r="AU55" s="624" t="str">
        <f>IF(L54&lt;&gt;"",IF(OR(WEEKDAY(DATE($A54,$B54,L54),2)&gt;6,COUNTIF('休日情報(要更新)'!$A$5:$J$32,DATE($A54,$B54,L54)) &gt;=1),"○",IF(WEEKDAY(DATE($A54,$B54,L54),2)=6,"●","")),"×")</f>
        <v/>
      </c>
      <c r="AV55" s="624" t="str">
        <f>IF(M54&lt;&gt;"",IF(OR(WEEKDAY(DATE($A54,$B54,M54),2)&gt;6,COUNTIF('休日情報(要更新)'!$A$5:$J$32,DATE($A54,$B54,M54)) &gt;=1),"○",IF(WEEKDAY(DATE($A54,$B54,M54),2)=6,"●","")),"×")</f>
        <v/>
      </c>
      <c r="AW55" s="624" t="str">
        <f>IF(N54&lt;&gt;"",IF(OR(WEEKDAY(DATE($A54,$B54,N54),2)&gt;6,COUNTIF('休日情報(要更新)'!$A$5:$J$32,DATE($A54,$B54,N54)) &gt;=1),"○",IF(WEEKDAY(DATE($A54,$B54,N54),2)=6,"●","")),"×")</f>
        <v>●</v>
      </c>
      <c r="AX55" s="624" t="str">
        <f>IF(O54&lt;&gt;"",IF(OR(WEEKDAY(DATE($A54,$B54,O54),2)&gt;6,COUNTIF('休日情報(要更新)'!$A$5:$J$32,DATE($A54,$B54,O54)) &gt;=1),"○",IF(WEEKDAY(DATE($A54,$B54,O54),2)=6,"●","")),"×")</f>
        <v>○</v>
      </c>
      <c r="AY55" s="624" t="str">
        <f>IF(P54&lt;&gt;"",IF(OR(WEEKDAY(DATE($A54,$B54,P54),2)&gt;6,COUNTIF('休日情報(要更新)'!$A$5:$J$32,DATE($A54,$B54,P54)) &gt;=1),"○",IF(WEEKDAY(DATE($A54,$B54,P54),2)=6,"●","")),"×")</f>
        <v>○</v>
      </c>
      <c r="AZ55" s="624" t="str">
        <f>IF(Q54&lt;&gt;"",IF(OR(WEEKDAY(DATE($A54,$B54,Q54),2)&gt;6,COUNTIF('休日情報(要更新)'!$A$5:$J$32,DATE($A54,$B54,Q54)) &gt;=1),"○",IF(WEEKDAY(DATE($A54,$B54,Q54),2)=6,"●","")),"×")</f>
        <v/>
      </c>
      <c r="BA55" s="624" t="str">
        <f>IF(R54&lt;&gt;"",IF(OR(WEEKDAY(DATE($A54,$B54,R54),2)&gt;6,COUNTIF('休日情報(要更新)'!$A$5:$J$32,DATE($A54,$B54,R54)) &gt;=1),"○",IF(WEEKDAY(DATE($A54,$B54,R54),2)=6,"●","")),"×")</f>
        <v/>
      </c>
      <c r="BB55" s="624" t="str">
        <f>IF(S54&lt;&gt;"",IF(OR(WEEKDAY(DATE($A54,$B54,S54),2)&gt;6,COUNTIF('休日情報(要更新)'!$A$5:$J$32,DATE($A54,$B54,S54)) &gt;=1),"○",IF(WEEKDAY(DATE($A54,$B54,S54),2)=6,"●","")),"×")</f>
        <v/>
      </c>
      <c r="BC55" s="624" t="str">
        <f>IF(T54&lt;&gt;"",IF(OR(WEEKDAY(DATE($A54,$B54,T54),2)&gt;6,COUNTIF('休日情報(要更新)'!$A$5:$J$32,DATE($A54,$B54,T54)) &gt;=1),"○",IF(WEEKDAY(DATE($A54,$B54,T54),2)=6,"●","")),"×")</f>
        <v/>
      </c>
      <c r="BD55" s="624" t="str">
        <f>IF(U54&lt;&gt;"",IF(OR(WEEKDAY(DATE($A54,$B54,U54),2)&gt;6,COUNTIF('休日情報(要更新)'!$A$5:$J$32,DATE($A54,$B54,U54)) &gt;=1),"○",IF(WEEKDAY(DATE($A54,$B54,U54),2)=6,"●","")),"×")</f>
        <v>●</v>
      </c>
      <c r="BE55" s="624" t="str">
        <f>IF(V54&lt;&gt;"",IF(OR(WEEKDAY(DATE($A54,$B54,V54),2)&gt;6,COUNTIF('休日情報(要更新)'!$A$5:$J$32,DATE($A54,$B54,V54)) &gt;=1),"○",IF(WEEKDAY(DATE($A54,$B54,V54),2)=6,"●","")),"×")</f>
        <v>○</v>
      </c>
      <c r="BF55" s="624" t="str">
        <f>IF(W54&lt;&gt;"",IF(OR(WEEKDAY(DATE($A54,$B54,W54),2)&gt;6,COUNTIF('休日情報(要更新)'!$A$5:$J$32,DATE($A54,$B54,W54)) &gt;=1),"○",IF(WEEKDAY(DATE($A54,$B54,W54),2)=6,"●","")),"×")</f>
        <v/>
      </c>
      <c r="BG55" s="624" t="str">
        <f>IF(X54&lt;&gt;"",IF(OR(WEEKDAY(DATE($A54,$B54,X54),2)&gt;6,COUNTIF('休日情報(要更新)'!$A$5:$J$32,DATE($A54,$B54,X54)) &gt;=1),"○",IF(WEEKDAY(DATE($A54,$B54,X54),2)=6,"●","")),"×")</f>
        <v/>
      </c>
      <c r="BH55" s="624" t="str">
        <f>IF(Y54&lt;&gt;"",IF(OR(WEEKDAY(DATE($A54,$B54,Y54),2)&gt;6,COUNTIF('休日情報(要更新)'!$A$5:$J$32,DATE($A54,$B54,Y54)) &gt;=1),"○",IF(WEEKDAY(DATE($A54,$B54,Y54),2)=6,"●","")),"×")</f>
        <v/>
      </c>
      <c r="BI55" s="624" t="str">
        <f>IF(Z54&lt;&gt;"",IF(OR(WEEKDAY(DATE($A54,$B54,Z54),2)&gt;6,COUNTIF('休日情報(要更新)'!$A$5:$J$32,DATE($A54,$B54,Z54)) &gt;=1),"○",IF(WEEKDAY(DATE($A54,$B54,Z54),2)=6,"●","")),"×")</f>
        <v/>
      </c>
      <c r="BJ55" s="624" t="str">
        <f>IF(AA54&lt;&gt;"",IF(OR(WEEKDAY(DATE($A54,$B54,AA54),2)&gt;6,COUNTIF('休日情報(要更新)'!$A$5:$J$32,DATE($A54,$B54,AA54)) &gt;=1),"○",IF(WEEKDAY(DATE($A54,$B54,AA54),2)=6,"●","")),"×")</f>
        <v/>
      </c>
      <c r="BK55" s="624" t="str">
        <f>IF(AB54&lt;&gt;"",IF(OR(WEEKDAY(DATE($A54,$B54,AB54),2)&gt;6,COUNTIF('休日情報(要更新)'!$A$5:$J$32,DATE($A54,$B54,AB54)) &gt;=1),"○",IF(WEEKDAY(DATE($A54,$B54,AB54),2)=6,"●","")),"×")</f>
        <v>●</v>
      </c>
      <c r="BL55" s="624" t="str">
        <f>IF(AC54&lt;&gt;"",IF(OR(WEEKDAY(DATE($A54,$B54,AC54),2)&gt;6,COUNTIF('休日情報(要更新)'!$A$5:$J$32,DATE($A54,$B54,AC54)) &gt;=1),"○",IF(WEEKDAY(DATE($A54,$B54,AC54),2)=6,"●","")),"×")</f>
        <v>○</v>
      </c>
      <c r="BM55" s="624" t="str">
        <f>IF(AD54&lt;&gt;"",IF(OR(WEEKDAY(DATE($A54,$B54,AD54),2)&gt;6,COUNTIF('休日情報(要更新)'!$A$5:$J$32,DATE($A54,$B54,AD54)) &gt;=1),"○",IF(WEEKDAY(DATE($A54,$B54,AD54),2)=6,"●","")),"×")</f>
        <v/>
      </c>
      <c r="BN55" s="624" t="str">
        <f>IF(AE54&lt;&gt;"",IF(OR(WEEKDAY(DATE($A54,$B54,AE54),2)&gt;6,COUNTIF('休日情報(要更新)'!$A$5:$J$32,DATE($A54,$B54,AE54)) &gt;=1),"○",IF(WEEKDAY(DATE($A54,$B54,AE54),2)=6,"●","")),"×")</f>
        <v/>
      </c>
      <c r="BO55" s="624" t="str">
        <f>IF(AF54&lt;&gt;"",IF(OR(WEEKDAY(DATE($A54,$B54,AF54),2)&gt;6,COUNTIF('休日情報(要更新)'!$A$5:$J$32,DATE($A54,$B54,AF54)) &gt;=1),"○",IF(WEEKDAY(DATE($A54,$B54,AF54),2)=6,"●","")),"×")</f>
        <v/>
      </c>
      <c r="BP55" s="624" t="str">
        <f>IF(AG54&lt;&gt;"",IF(OR(WEEKDAY(DATE($A54,$B54,AG54),2)&gt;6,COUNTIF('休日情報(要更新)'!$A$5:$J$32,DATE($A54,$B54,AG54)) &gt;=1),"○",IF(WEEKDAY(DATE($A54,$B54,AG54),2)=6,"●","")),"×")</f>
        <v/>
      </c>
      <c r="BQ55" s="624" t="str">
        <f>IF(AH54&lt;&gt;"",IF(OR(WEEKDAY(DATE($A54,$B54,AH54),2)&gt;6,COUNTIF('休日情報(要更新)'!$A$5:$J$32,DATE($A54,$B54,AH54)) &gt;=1),"○",IF(WEEKDAY(DATE($A54,$B54,AH54),2)=6,"●","")),"×")</f>
        <v/>
      </c>
      <c r="BR55" s="624" t="str">
        <f>IF(AI54&lt;&gt;"",IF(OR(WEEKDAY(DATE($A54,$B54,AI54),2)&gt;6,COUNTIF('休日情報(要更新)'!$A$5:$J$32,DATE($A54,$B54,AI54)) &gt;=1),"○",IF(WEEKDAY(DATE($A54,$B54,AI54),2)=6,"●","")),"×")</f>
        <v>●</v>
      </c>
    </row>
    <row r="56" spans="1:70" ht="12" customHeight="1">
      <c r="A56" s="2361"/>
      <c r="B56" s="2363"/>
      <c r="C56" s="2370"/>
      <c r="D56" s="626" t="s">
        <v>653</v>
      </c>
      <c r="E56" s="627"/>
      <c r="F56" s="628"/>
      <c r="G56" s="628"/>
      <c r="H56" s="628"/>
      <c r="I56" s="628"/>
      <c r="J56" s="628"/>
      <c r="K56" s="628"/>
      <c r="L56" s="628"/>
      <c r="M56" s="628"/>
      <c r="N56" s="628"/>
      <c r="O56" s="628"/>
      <c r="P56" s="628"/>
      <c r="Q56" s="628"/>
      <c r="R56" s="628"/>
      <c r="S56" s="628"/>
      <c r="T56" s="628"/>
      <c r="U56" s="628"/>
      <c r="V56" s="628"/>
      <c r="W56" s="628"/>
      <c r="X56" s="628"/>
      <c r="Y56" s="628"/>
      <c r="Z56" s="628"/>
      <c r="AA56" s="628"/>
      <c r="AB56" s="628"/>
      <c r="AC56" s="628"/>
      <c r="AD56" s="628"/>
      <c r="AE56" s="628"/>
      <c r="AF56" s="628"/>
      <c r="AG56" s="628"/>
      <c r="AH56" s="628"/>
      <c r="AI56" s="629"/>
      <c r="AJ56" s="630">
        <f>COUNTIFS(AN55:BR55,"",E56:AI56,"○")</f>
        <v>0</v>
      </c>
      <c r="AK56" s="631"/>
    </row>
    <row r="57" spans="1:70" ht="12.75" customHeight="1">
      <c r="A57" s="2361"/>
      <c r="B57" s="2363"/>
      <c r="C57" s="2371"/>
      <c r="D57" s="821" t="s">
        <v>654</v>
      </c>
      <c r="E57" s="822"/>
      <c r="F57" s="823"/>
      <c r="G57" s="823"/>
      <c r="H57" s="823"/>
      <c r="I57" s="823"/>
      <c r="J57" s="823"/>
      <c r="K57" s="823"/>
      <c r="L57" s="823"/>
      <c r="M57" s="823"/>
      <c r="N57" s="823"/>
      <c r="O57" s="823"/>
      <c r="P57" s="823"/>
      <c r="Q57" s="823"/>
      <c r="R57" s="823"/>
      <c r="S57" s="823"/>
      <c r="T57" s="823"/>
      <c r="U57" s="823"/>
      <c r="V57" s="823"/>
      <c r="W57" s="823"/>
      <c r="X57" s="823"/>
      <c r="Y57" s="823"/>
      <c r="Z57" s="823"/>
      <c r="AA57" s="823"/>
      <c r="AB57" s="823"/>
      <c r="AC57" s="823"/>
      <c r="AD57" s="823"/>
      <c r="AE57" s="823"/>
      <c r="AF57" s="823"/>
      <c r="AG57" s="823"/>
      <c r="AH57" s="823"/>
      <c r="AI57" s="824"/>
      <c r="AJ57" s="825">
        <f>COUNTIFS(E56:AI56,"○",AN55:BR55,"",E57:AI57,"○")</f>
        <v>0</v>
      </c>
    </row>
    <row r="58" spans="1:70" ht="12.75" customHeight="1">
      <c r="A58" s="955"/>
      <c r="B58" s="2364"/>
      <c r="C58" s="2372"/>
      <c r="D58" s="633" t="s">
        <v>1182</v>
      </c>
      <c r="E58" s="634"/>
      <c r="F58" s="635"/>
      <c r="G58" s="635"/>
      <c r="H58" s="635"/>
      <c r="I58" s="635"/>
      <c r="J58" s="635"/>
      <c r="K58" s="635"/>
      <c r="L58" s="635"/>
      <c r="M58" s="635"/>
      <c r="N58" s="635"/>
      <c r="O58" s="635"/>
      <c r="P58" s="635"/>
      <c r="Q58" s="635"/>
      <c r="R58" s="635"/>
      <c r="S58" s="635"/>
      <c r="T58" s="635"/>
      <c r="U58" s="635"/>
      <c r="V58" s="635"/>
      <c r="W58" s="635"/>
      <c r="X58" s="635"/>
      <c r="Y58" s="635"/>
      <c r="Z58" s="635"/>
      <c r="AA58" s="635"/>
      <c r="AB58" s="635"/>
      <c r="AC58" s="635"/>
      <c r="AD58" s="635"/>
      <c r="AE58" s="635"/>
      <c r="AF58" s="635"/>
      <c r="AG58" s="635"/>
      <c r="AH58" s="635"/>
      <c r="AI58" s="636"/>
      <c r="AJ58" s="637">
        <f>COUNTIFS(E56:AI56,"○",AN55:BR55,"",E57:AI57,"○",E58:AI58,"○")</f>
        <v>0</v>
      </c>
    </row>
    <row r="59" spans="1:70" ht="12" customHeight="1">
      <c r="A59" s="2361">
        <f>IF($AN$7=0,#REF!,$AN$7)+IF(AND($B59&gt;=1,$B59&lt;=3),1,0)</f>
        <v>2026</v>
      </c>
      <c r="B59" s="2374">
        <v>2</v>
      </c>
      <c r="C59" s="2372" t="s">
        <v>864</v>
      </c>
      <c r="D59" s="826" t="s">
        <v>643</v>
      </c>
      <c r="E59" s="827">
        <v>1</v>
      </c>
      <c r="F59" s="703">
        <v>2</v>
      </c>
      <c r="G59" s="703">
        <v>3</v>
      </c>
      <c r="H59" s="703">
        <v>4</v>
      </c>
      <c r="I59" s="703">
        <v>5</v>
      </c>
      <c r="J59" s="703">
        <v>6</v>
      </c>
      <c r="K59" s="703">
        <v>7</v>
      </c>
      <c r="L59" s="703">
        <v>8</v>
      </c>
      <c r="M59" s="703">
        <v>9</v>
      </c>
      <c r="N59" s="703">
        <v>10</v>
      </c>
      <c r="O59" s="703">
        <v>11</v>
      </c>
      <c r="P59" s="703">
        <v>12</v>
      </c>
      <c r="Q59" s="703">
        <v>13</v>
      </c>
      <c r="R59" s="703">
        <v>14</v>
      </c>
      <c r="S59" s="703">
        <v>15</v>
      </c>
      <c r="T59" s="703">
        <v>16</v>
      </c>
      <c r="U59" s="703">
        <v>17</v>
      </c>
      <c r="V59" s="703">
        <v>18</v>
      </c>
      <c r="W59" s="703">
        <v>19</v>
      </c>
      <c r="X59" s="703">
        <v>20</v>
      </c>
      <c r="Y59" s="703">
        <v>21</v>
      </c>
      <c r="Z59" s="703">
        <v>22</v>
      </c>
      <c r="AA59" s="703">
        <v>23</v>
      </c>
      <c r="AB59" s="703">
        <v>24</v>
      </c>
      <c r="AC59" s="703">
        <v>25</v>
      </c>
      <c r="AD59" s="703">
        <v>26</v>
      </c>
      <c r="AE59" s="703">
        <v>27</v>
      </c>
      <c r="AF59" s="703">
        <v>28</v>
      </c>
      <c r="AG59" s="703" t="str">
        <f>IF(MONTH(DATE($A59,B59,AF59+1))=B59,AF59+1,"")</f>
        <v/>
      </c>
      <c r="AH59" s="703" t="str">
        <f t="shared" ref="AH59" si="28">IF(B59&lt;&gt;2,IF(AG59&lt;&gt;"",AG59+1,""),"")</f>
        <v/>
      </c>
      <c r="AI59" s="704" t="str">
        <f t="shared" ref="AI59" si="29">IF(OR(B59=1,B59=3,B59=5,B59=7,B59=8,B59=10,B59=12),AH59+1,"")</f>
        <v/>
      </c>
      <c r="AJ59" s="2373" t="s">
        <v>22</v>
      </c>
      <c r="AK59" s="623"/>
      <c r="AL59" s="2369" t="s">
        <v>444</v>
      </c>
      <c r="AM59" s="2369"/>
      <c r="AN59" s="624">
        <v>1</v>
      </c>
      <c r="AO59" s="624">
        <v>2</v>
      </c>
      <c r="AP59" s="624">
        <v>3</v>
      </c>
      <c r="AQ59" s="624">
        <v>4</v>
      </c>
      <c r="AR59" s="624">
        <v>5</v>
      </c>
      <c r="AS59" s="624">
        <v>6</v>
      </c>
      <c r="AT59" s="624">
        <v>7</v>
      </c>
      <c r="AU59" s="624">
        <v>8</v>
      </c>
      <c r="AV59" s="624">
        <v>9</v>
      </c>
      <c r="AW59" s="624">
        <v>10</v>
      </c>
      <c r="AX59" s="624">
        <v>11</v>
      </c>
      <c r="AY59" s="624">
        <v>12</v>
      </c>
      <c r="AZ59" s="624">
        <v>13</v>
      </c>
      <c r="BA59" s="624">
        <v>14</v>
      </c>
      <c r="BB59" s="624">
        <v>15</v>
      </c>
      <c r="BC59" s="624">
        <v>16</v>
      </c>
      <c r="BD59" s="624">
        <v>17</v>
      </c>
      <c r="BE59" s="624">
        <v>18</v>
      </c>
      <c r="BF59" s="624">
        <v>19</v>
      </c>
      <c r="BG59" s="624">
        <v>20</v>
      </c>
      <c r="BH59" s="624">
        <v>21</v>
      </c>
      <c r="BI59" s="624">
        <v>22</v>
      </c>
      <c r="BJ59" s="624">
        <v>23</v>
      </c>
      <c r="BK59" s="624">
        <v>24</v>
      </c>
      <c r="BL59" s="624">
        <v>25</v>
      </c>
      <c r="BM59" s="624">
        <v>26</v>
      </c>
      <c r="BN59" s="624">
        <v>27</v>
      </c>
      <c r="BO59" s="624">
        <v>28</v>
      </c>
      <c r="BP59" s="624">
        <v>29</v>
      </c>
      <c r="BQ59" s="624">
        <v>30</v>
      </c>
      <c r="BR59" s="624">
        <v>31</v>
      </c>
    </row>
    <row r="60" spans="1:70" ht="12" customHeight="1">
      <c r="A60" s="2361"/>
      <c r="B60" s="2363"/>
      <c r="C60" s="2366"/>
      <c r="D60" s="625" t="s">
        <v>445</v>
      </c>
      <c r="E60" s="966" t="str">
        <f t="shared" ref="E60:AI60" si="30">IF(E59&lt;&gt;"",HLOOKUP(WEEKDAY(DATE($A59,$B59,E59)),$AP$1:$AV$2,2,FALSE),"")</f>
        <v>（日）</v>
      </c>
      <c r="F60" s="964" t="str">
        <f t="shared" si="30"/>
        <v>（月）</v>
      </c>
      <c r="G60" s="964" t="str">
        <f t="shared" si="30"/>
        <v>（火）</v>
      </c>
      <c r="H60" s="964" t="str">
        <f t="shared" si="30"/>
        <v>（水）</v>
      </c>
      <c r="I60" s="964" t="str">
        <f t="shared" si="30"/>
        <v>（木）</v>
      </c>
      <c r="J60" s="964" t="str">
        <f t="shared" si="30"/>
        <v>（金）</v>
      </c>
      <c r="K60" s="964" t="str">
        <f t="shared" si="30"/>
        <v>（土）</v>
      </c>
      <c r="L60" s="964" t="str">
        <f t="shared" si="30"/>
        <v>（日）</v>
      </c>
      <c r="M60" s="964" t="str">
        <f t="shared" si="30"/>
        <v>（月）</v>
      </c>
      <c r="N60" s="964" t="str">
        <f t="shared" si="30"/>
        <v>（火）</v>
      </c>
      <c r="O60" s="964" t="str">
        <f t="shared" si="30"/>
        <v>（水）</v>
      </c>
      <c r="P60" s="964" t="str">
        <f t="shared" si="30"/>
        <v>（木）</v>
      </c>
      <c r="Q60" s="964" t="str">
        <f t="shared" si="30"/>
        <v>（金）</v>
      </c>
      <c r="R60" s="964" t="str">
        <f t="shared" si="30"/>
        <v>（土）</v>
      </c>
      <c r="S60" s="964" t="str">
        <f t="shared" si="30"/>
        <v>（日）</v>
      </c>
      <c r="T60" s="964" t="str">
        <f t="shared" si="30"/>
        <v>（月）</v>
      </c>
      <c r="U60" s="964" t="str">
        <f t="shared" si="30"/>
        <v>（火）</v>
      </c>
      <c r="V60" s="964" t="str">
        <f t="shared" si="30"/>
        <v>（水）</v>
      </c>
      <c r="W60" s="964" t="str">
        <f t="shared" si="30"/>
        <v>（木）</v>
      </c>
      <c r="X60" s="964" t="str">
        <f t="shared" si="30"/>
        <v>（金）</v>
      </c>
      <c r="Y60" s="964" t="str">
        <f t="shared" si="30"/>
        <v>（土）</v>
      </c>
      <c r="Z60" s="964" t="str">
        <f t="shared" si="30"/>
        <v>（日）</v>
      </c>
      <c r="AA60" s="964" t="str">
        <f t="shared" si="30"/>
        <v>（月）</v>
      </c>
      <c r="AB60" s="964" t="str">
        <f t="shared" si="30"/>
        <v>（火）</v>
      </c>
      <c r="AC60" s="964" t="str">
        <f t="shared" si="30"/>
        <v>（水）</v>
      </c>
      <c r="AD60" s="964" t="str">
        <f t="shared" si="30"/>
        <v>（木）</v>
      </c>
      <c r="AE60" s="964" t="str">
        <f t="shared" si="30"/>
        <v>（金）</v>
      </c>
      <c r="AF60" s="964" t="str">
        <f t="shared" si="30"/>
        <v>（土）</v>
      </c>
      <c r="AG60" s="964" t="str">
        <f t="shared" si="30"/>
        <v/>
      </c>
      <c r="AH60" s="964" t="str">
        <f t="shared" si="30"/>
        <v/>
      </c>
      <c r="AI60" s="967" t="str">
        <f t="shared" si="30"/>
        <v/>
      </c>
      <c r="AJ60" s="2368"/>
      <c r="AK60" s="623"/>
      <c r="AL60" s="2369" t="s">
        <v>641</v>
      </c>
      <c r="AM60" s="2369"/>
      <c r="AN60" s="624" t="str">
        <f>IF(E59&lt;&gt;"",IF(OR(WEEKDAY(DATE($A59,$B59,E59),2)&gt;6,COUNTIF('休日情報(要更新)'!$A$5:$J$32,DATE($A59,$B59,E59)) &gt;=1),"○",IF(WEEKDAY(DATE($A59,$B59,E59),2)=6,"●","")),"×")</f>
        <v>○</v>
      </c>
      <c r="AO60" s="624" t="str">
        <f>IF(F59&lt;&gt;"",IF(OR(WEEKDAY(DATE($A59,$B59,F59),2)&gt;6,COUNTIF('休日情報(要更新)'!$A$5:$J$32,DATE($A59,$B59,F59)) &gt;=1),"○",IF(WEEKDAY(DATE($A59,$B59,F59),2)=6,"●","")),"×")</f>
        <v/>
      </c>
      <c r="AP60" s="624" t="str">
        <f>IF(G59&lt;&gt;"",IF(OR(WEEKDAY(DATE($A59,$B59,G59),2)&gt;6,COUNTIF('休日情報(要更新)'!$A$5:$J$32,DATE($A59,$B59,G59)) &gt;=1),"○",IF(WEEKDAY(DATE($A59,$B59,G59),2)=6,"●","")),"×")</f>
        <v/>
      </c>
      <c r="AQ60" s="624" t="str">
        <f>IF(H59&lt;&gt;"",IF(OR(WEEKDAY(DATE($A59,$B59,H59),2)&gt;6,COUNTIF('休日情報(要更新)'!$A$5:$J$32,DATE($A59,$B59,H59)) &gt;=1),"○",IF(WEEKDAY(DATE($A59,$B59,H59),2)=6,"●","")),"×")</f>
        <v/>
      </c>
      <c r="AR60" s="624" t="str">
        <f>IF(I59&lt;&gt;"",IF(OR(WEEKDAY(DATE($A59,$B59,I59),2)&gt;6,COUNTIF('休日情報(要更新)'!$A$5:$J$32,DATE($A59,$B59,I59)) &gt;=1),"○",IF(WEEKDAY(DATE($A59,$B59,I59),2)=6,"●","")),"×")</f>
        <v/>
      </c>
      <c r="AS60" s="624" t="str">
        <f>IF(J59&lt;&gt;"",IF(OR(WEEKDAY(DATE($A59,$B59,J59),2)&gt;6,COUNTIF('休日情報(要更新)'!$A$5:$J$32,DATE($A59,$B59,J59)) &gt;=1),"○",IF(WEEKDAY(DATE($A59,$B59,J59),2)=6,"●","")),"×")</f>
        <v/>
      </c>
      <c r="AT60" s="624" t="str">
        <f>IF(K59&lt;&gt;"",IF(OR(WEEKDAY(DATE($A59,$B59,K59),2)&gt;6,COUNTIF('休日情報(要更新)'!$A$5:$J$32,DATE($A59,$B59,K59)) &gt;=1),"○",IF(WEEKDAY(DATE($A59,$B59,K59),2)=6,"●","")),"×")</f>
        <v>●</v>
      </c>
      <c r="AU60" s="624" t="str">
        <f>IF(L59&lt;&gt;"",IF(OR(WEEKDAY(DATE($A59,$B59,L59),2)&gt;6,COUNTIF('休日情報(要更新)'!$A$5:$J$32,DATE($A59,$B59,L59)) &gt;=1),"○",IF(WEEKDAY(DATE($A59,$B59,L59),2)=6,"●","")),"×")</f>
        <v>○</v>
      </c>
      <c r="AV60" s="624" t="str">
        <f>IF(M59&lt;&gt;"",IF(OR(WEEKDAY(DATE($A59,$B59,M59),2)&gt;6,COUNTIF('休日情報(要更新)'!$A$5:$J$32,DATE($A59,$B59,M59)) &gt;=1),"○",IF(WEEKDAY(DATE($A59,$B59,M59),2)=6,"●","")),"×")</f>
        <v/>
      </c>
      <c r="AW60" s="624" t="str">
        <f>IF(N59&lt;&gt;"",IF(OR(WEEKDAY(DATE($A59,$B59,N59),2)&gt;6,COUNTIF('休日情報(要更新)'!$A$5:$J$32,DATE($A59,$B59,N59)) &gt;=1),"○",IF(WEEKDAY(DATE($A59,$B59,N59),2)=6,"●","")),"×")</f>
        <v/>
      </c>
      <c r="AX60" s="624" t="str">
        <f>IF(O59&lt;&gt;"",IF(OR(WEEKDAY(DATE($A59,$B59,O59),2)&gt;6,COUNTIF('休日情報(要更新)'!$A$5:$J$32,DATE($A59,$B59,O59)) &gt;=1),"○",IF(WEEKDAY(DATE($A59,$B59,O59),2)=6,"●","")),"×")</f>
        <v>○</v>
      </c>
      <c r="AY60" s="624" t="str">
        <f>IF(P59&lt;&gt;"",IF(OR(WEEKDAY(DATE($A59,$B59,P59),2)&gt;6,COUNTIF('休日情報(要更新)'!$A$5:$J$32,DATE($A59,$B59,P59)) &gt;=1),"○",IF(WEEKDAY(DATE($A59,$B59,P59),2)=6,"●","")),"×")</f>
        <v/>
      </c>
      <c r="AZ60" s="624" t="str">
        <f>IF(Q59&lt;&gt;"",IF(OR(WEEKDAY(DATE($A59,$B59,Q59),2)&gt;6,COUNTIF('休日情報(要更新)'!$A$5:$J$32,DATE($A59,$B59,Q59)) &gt;=1),"○",IF(WEEKDAY(DATE($A59,$B59,Q59),2)=6,"●","")),"×")</f>
        <v/>
      </c>
      <c r="BA60" s="624" t="str">
        <f>IF(R59&lt;&gt;"",IF(OR(WEEKDAY(DATE($A59,$B59,R59),2)&gt;6,COUNTIF('休日情報(要更新)'!$A$5:$J$32,DATE($A59,$B59,R59)) &gt;=1),"○",IF(WEEKDAY(DATE($A59,$B59,R59),2)=6,"●","")),"×")</f>
        <v>●</v>
      </c>
      <c r="BB60" s="624" t="str">
        <f>IF(S59&lt;&gt;"",IF(OR(WEEKDAY(DATE($A59,$B59,S59),2)&gt;6,COUNTIF('休日情報(要更新)'!$A$5:$J$32,DATE($A59,$B59,S59)) &gt;=1),"○",IF(WEEKDAY(DATE($A59,$B59,S59),2)=6,"●","")),"×")</f>
        <v>○</v>
      </c>
      <c r="BC60" s="624" t="str">
        <f>IF(T59&lt;&gt;"",IF(OR(WEEKDAY(DATE($A59,$B59,T59),2)&gt;6,COUNTIF('休日情報(要更新)'!$A$5:$J$32,DATE($A59,$B59,T59)) &gt;=1),"○",IF(WEEKDAY(DATE($A59,$B59,T59),2)=6,"●","")),"×")</f>
        <v/>
      </c>
      <c r="BD60" s="624" t="str">
        <f>IF(U59&lt;&gt;"",IF(OR(WEEKDAY(DATE($A59,$B59,U59),2)&gt;6,COUNTIF('休日情報(要更新)'!$A$5:$J$32,DATE($A59,$B59,U59)) &gt;=1),"○",IF(WEEKDAY(DATE($A59,$B59,U59),2)=6,"●","")),"×")</f>
        <v/>
      </c>
      <c r="BE60" s="624" t="str">
        <f>IF(V59&lt;&gt;"",IF(OR(WEEKDAY(DATE($A59,$B59,V59),2)&gt;6,COUNTIF('休日情報(要更新)'!$A$5:$J$32,DATE($A59,$B59,V59)) &gt;=1),"○",IF(WEEKDAY(DATE($A59,$B59,V59),2)=6,"●","")),"×")</f>
        <v/>
      </c>
      <c r="BF60" s="624" t="str">
        <f>IF(W59&lt;&gt;"",IF(OR(WEEKDAY(DATE($A59,$B59,W59),2)&gt;6,COUNTIF('休日情報(要更新)'!$A$5:$J$32,DATE($A59,$B59,W59)) &gt;=1),"○",IF(WEEKDAY(DATE($A59,$B59,W59),2)=6,"●","")),"×")</f>
        <v/>
      </c>
      <c r="BG60" s="624" t="str">
        <f>IF(X59&lt;&gt;"",IF(OR(WEEKDAY(DATE($A59,$B59,X59),2)&gt;6,COUNTIF('休日情報(要更新)'!$A$5:$J$32,DATE($A59,$B59,X59)) &gt;=1),"○",IF(WEEKDAY(DATE($A59,$B59,X59),2)=6,"●","")),"×")</f>
        <v/>
      </c>
      <c r="BH60" s="624" t="str">
        <f>IF(Y59&lt;&gt;"",IF(OR(WEEKDAY(DATE($A59,$B59,Y59),2)&gt;6,COUNTIF('休日情報(要更新)'!$A$5:$J$32,DATE($A59,$B59,Y59)) &gt;=1),"○",IF(WEEKDAY(DATE($A59,$B59,Y59),2)=6,"●","")),"×")</f>
        <v>●</v>
      </c>
      <c r="BI60" s="624" t="str">
        <f>IF(Z59&lt;&gt;"",IF(OR(WEEKDAY(DATE($A59,$B59,Z59),2)&gt;6,COUNTIF('休日情報(要更新)'!$A$5:$J$32,DATE($A59,$B59,Z59)) &gt;=1),"○",IF(WEEKDAY(DATE($A59,$B59,Z59),2)=6,"●","")),"×")</f>
        <v>○</v>
      </c>
      <c r="BJ60" s="624" t="str">
        <f>IF(AA59&lt;&gt;"",IF(OR(WEEKDAY(DATE($A59,$B59,AA59),2)&gt;6,COUNTIF('休日情報(要更新)'!$A$5:$J$32,DATE($A59,$B59,AA59)) &gt;=1),"○",IF(WEEKDAY(DATE($A59,$B59,AA59),2)=6,"●","")),"×")</f>
        <v>○</v>
      </c>
      <c r="BK60" s="624" t="str">
        <f>IF(AB59&lt;&gt;"",IF(OR(WEEKDAY(DATE($A59,$B59,AB59),2)&gt;6,COUNTIF('休日情報(要更新)'!$A$5:$J$32,DATE($A59,$B59,AB59)) &gt;=1),"○",IF(WEEKDAY(DATE($A59,$B59,AB59),2)=6,"●","")),"×")</f>
        <v/>
      </c>
      <c r="BL60" s="624" t="str">
        <f>IF(AC59&lt;&gt;"",IF(OR(WEEKDAY(DATE($A59,$B59,AC59),2)&gt;6,COUNTIF('休日情報(要更新)'!$A$5:$J$32,DATE($A59,$B59,AC59)) &gt;=1),"○",IF(WEEKDAY(DATE($A59,$B59,AC59),2)=6,"●","")),"×")</f>
        <v/>
      </c>
      <c r="BM60" s="624" t="str">
        <f>IF(AD59&lt;&gt;"",IF(OR(WEEKDAY(DATE($A59,$B59,AD59),2)&gt;6,COUNTIF('休日情報(要更新)'!$A$5:$J$32,DATE($A59,$B59,AD59)) &gt;=1),"○",IF(WEEKDAY(DATE($A59,$B59,AD59),2)=6,"●","")),"×")</f>
        <v/>
      </c>
      <c r="BN60" s="624" t="str">
        <f>IF(AE59&lt;&gt;"",IF(OR(WEEKDAY(DATE($A59,$B59,AE59),2)&gt;6,COUNTIF('休日情報(要更新)'!$A$5:$J$32,DATE($A59,$B59,AE59)) &gt;=1),"○",IF(WEEKDAY(DATE($A59,$B59,AE59),2)=6,"●","")),"×")</f>
        <v/>
      </c>
      <c r="BO60" s="624" t="str">
        <f>IF(AF59&lt;&gt;"",IF(OR(WEEKDAY(DATE($A59,$B59,AF59),2)&gt;6,COUNTIF('休日情報(要更新)'!$A$5:$J$32,DATE($A59,$B59,AF59)) &gt;=1),"○",IF(WEEKDAY(DATE($A59,$B59,AF59),2)=6,"●","")),"×")</f>
        <v>●</v>
      </c>
      <c r="BP60" s="624" t="str">
        <f>IF(AG59&lt;&gt;"",IF(OR(WEEKDAY(DATE($A59,$B59,AG59),2)&gt;6,COUNTIF('休日情報(要更新)'!$A$5:$J$32,DATE($A59,$B59,AG59)) &gt;=1),"○",IF(WEEKDAY(DATE($A59,$B59,AG59),2)=6,"●","")),"×")</f>
        <v>×</v>
      </c>
      <c r="BQ60" s="624" t="str">
        <f>IF(AH59&lt;&gt;"",IF(OR(WEEKDAY(DATE($A59,$B59,AH59),2)&gt;6,COUNTIF('休日情報(要更新)'!$A$5:$J$32,DATE($A59,$B59,AH59)) &gt;=1),"○",IF(WEEKDAY(DATE($A59,$B59,AH59),2)=6,"●","")),"×")</f>
        <v>×</v>
      </c>
      <c r="BR60" s="624" t="str">
        <f>IF(AI59&lt;&gt;"",IF(OR(WEEKDAY(DATE($A59,$B59,AI59),2)&gt;6,COUNTIF('休日情報(要更新)'!$A$5:$J$32,DATE($A59,$B59,AI59)) &gt;=1),"○",IF(WEEKDAY(DATE($A59,$B59,AI59),2)=6,"●","")),"×")</f>
        <v>×</v>
      </c>
    </row>
    <row r="61" spans="1:70" ht="12" customHeight="1">
      <c r="A61" s="2361"/>
      <c r="B61" s="2363"/>
      <c r="C61" s="2370"/>
      <c r="D61" s="626" t="s">
        <v>653</v>
      </c>
      <c r="E61" s="627"/>
      <c r="F61" s="628"/>
      <c r="G61" s="628"/>
      <c r="H61" s="628"/>
      <c r="I61" s="628"/>
      <c r="J61" s="628"/>
      <c r="K61" s="628"/>
      <c r="L61" s="628"/>
      <c r="M61" s="628"/>
      <c r="N61" s="628"/>
      <c r="O61" s="628"/>
      <c r="P61" s="628"/>
      <c r="Q61" s="628"/>
      <c r="R61" s="628"/>
      <c r="S61" s="628"/>
      <c r="T61" s="628"/>
      <c r="U61" s="628"/>
      <c r="V61" s="628"/>
      <c r="W61" s="628"/>
      <c r="X61" s="628"/>
      <c r="Y61" s="628"/>
      <c r="Z61" s="628"/>
      <c r="AA61" s="628"/>
      <c r="AB61" s="628"/>
      <c r="AC61" s="628"/>
      <c r="AD61" s="628"/>
      <c r="AE61" s="628"/>
      <c r="AF61" s="628"/>
      <c r="AG61" s="628"/>
      <c r="AH61" s="628"/>
      <c r="AI61" s="629"/>
      <c r="AJ61" s="630">
        <f>COUNTIFS(AN60:BR60,"",E61:AI61,"○")</f>
        <v>0</v>
      </c>
      <c r="AK61" s="631"/>
    </row>
    <row r="62" spans="1:70" ht="12.75" customHeight="1">
      <c r="A62" s="2361"/>
      <c r="B62" s="2363"/>
      <c r="C62" s="2371"/>
      <c r="D62" s="821" t="s">
        <v>654</v>
      </c>
      <c r="E62" s="822"/>
      <c r="F62" s="823"/>
      <c r="G62" s="823"/>
      <c r="H62" s="823"/>
      <c r="I62" s="823"/>
      <c r="J62" s="823"/>
      <c r="K62" s="823"/>
      <c r="L62" s="823"/>
      <c r="M62" s="823"/>
      <c r="N62" s="823"/>
      <c r="O62" s="823"/>
      <c r="P62" s="823"/>
      <c r="Q62" s="823"/>
      <c r="R62" s="823"/>
      <c r="S62" s="823"/>
      <c r="T62" s="823"/>
      <c r="U62" s="823"/>
      <c r="V62" s="823"/>
      <c r="W62" s="823"/>
      <c r="X62" s="823"/>
      <c r="Y62" s="823"/>
      <c r="Z62" s="823"/>
      <c r="AA62" s="823"/>
      <c r="AB62" s="823"/>
      <c r="AC62" s="823"/>
      <c r="AD62" s="823"/>
      <c r="AE62" s="823"/>
      <c r="AF62" s="823"/>
      <c r="AG62" s="823"/>
      <c r="AH62" s="823"/>
      <c r="AI62" s="824"/>
      <c r="AJ62" s="825">
        <f>COUNTIFS(E61:AI61,"○",AN60:BR60,"",E62:AI62,"○")</f>
        <v>0</v>
      </c>
    </row>
    <row r="63" spans="1:70" ht="12.75" customHeight="1">
      <c r="A63" s="955"/>
      <c r="B63" s="2364"/>
      <c r="C63" s="2372"/>
      <c r="D63" s="633" t="s">
        <v>1182</v>
      </c>
      <c r="E63" s="634"/>
      <c r="F63" s="635"/>
      <c r="G63" s="635"/>
      <c r="H63" s="635"/>
      <c r="I63" s="635"/>
      <c r="J63" s="635"/>
      <c r="K63" s="635"/>
      <c r="L63" s="635"/>
      <c r="M63" s="635"/>
      <c r="N63" s="635"/>
      <c r="O63" s="635"/>
      <c r="P63" s="635"/>
      <c r="Q63" s="635"/>
      <c r="R63" s="635"/>
      <c r="S63" s="635"/>
      <c r="T63" s="635"/>
      <c r="U63" s="635"/>
      <c r="V63" s="635"/>
      <c r="W63" s="635"/>
      <c r="X63" s="635"/>
      <c r="Y63" s="635"/>
      <c r="Z63" s="635"/>
      <c r="AA63" s="635"/>
      <c r="AB63" s="635"/>
      <c r="AC63" s="635"/>
      <c r="AD63" s="635"/>
      <c r="AE63" s="635"/>
      <c r="AF63" s="635"/>
      <c r="AG63" s="635"/>
      <c r="AH63" s="635"/>
      <c r="AI63" s="636"/>
      <c r="AJ63" s="637">
        <f>COUNTIFS(E61:AI61,"○",AN60:BR60,"",E62:AI62,"○",E63:AI63,"○")</f>
        <v>0</v>
      </c>
    </row>
    <row r="64" spans="1:70" ht="12.75" customHeight="1">
      <c r="A64" s="2361">
        <f>IF($AN$7=0,#REF!,$AN$7)+IF(AND($B64&gt;=1,$B64&lt;=3),1,0)</f>
        <v>2026</v>
      </c>
      <c r="B64" s="2374">
        <v>3</v>
      </c>
      <c r="C64" s="2372" t="s">
        <v>864</v>
      </c>
      <c r="D64" s="826" t="s">
        <v>643</v>
      </c>
      <c r="E64" s="827">
        <v>1</v>
      </c>
      <c r="F64" s="703">
        <v>2</v>
      </c>
      <c r="G64" s="703">
        <v>3</v>
      </c>
      <c r="H64" s="703">
        <v>4</v>
      </c>
      <c r="I64" s="703">
        <v>5</v>
      </c>
      <c r="J64" s="703">
        <v>6</v>
      </c>
      <c r="K64" s="703">
        <v>7</v>
      </c>
      <c r="L64" s="703">
        <v>8</v>
      </c>
      <c r="M64" s="703">
        <v>9</v>
      </c>
      <c r="N64" s="703">
        <v>10</v>
      </c>
      <c r="O64" s="703">
        <v>11</v>
      </c>
      <c r="P64" s="703">
        <v>12</v>
      </c>
      <c r="Q64" s="703">
        <v>13</v>
      </c>
      <c r="R64" s="703">
        <v>14</v>
      </c>
      <c r="S64" s="703">
        <v>15</v>
      </c>
      <c r="T64" s="703">
        <v>16</v>
      </c>
      <c r="U64" s="703">
        <v>17</v>
      </c>
      <c r="V64" s="703">
        <v>18</v>
      </c>
      <c r="W64" s="703">
        <v>19</v>
      </c>
      <c r="X64" s="703">
        <v>20</v>
      </c>
      <c r="Y64" s="703">
        <v>21</v>
      </c>
      <c r="Z64" s="703">
        <v>22</v>
      </c>
      <c r="AA64" s="703">
        <v>23</v>
      </c>
      <c r="AB64" s="703">
        <v>24</v>
      </c>
      <c r="AC64" s="703">
        <v>25</v>
      </c>
      <c r="AD64" s="703">
        <v>26</v>
      </c>
      <c r="AE64" s="703">
        <v>27</v>
      </c>
      <c r="AF64" s="703">
        <v>28</v>
      </c>
      <c r="AG64" s="703">
        <f>IF(MONTH(DATE($A64,B64,AF64+1))=B64,AF64+1,"")</f>
        <v>29</v>
      </c>
      <c r="AH64" s="703">
        <f t="shared" ref="AH64" si="31">IF(B64&lt;&gt;2,IF(AG64&lt;&gt;"",AG64+1,""),"")</f>
        <v>30</v>
      </c>
      <c r="AI64" s="704">
        <f t="shared" ref="AI64" si="32">IF(OR(B64=1,B64=3,B64=5,B64=7,B64=8,B64=10,B64=12),AH64+1,"")</f>
        <v>31</v>
      </c>
      <c r="AJ64" s="2373" t="s">
        <v>22</v>
      </c>
      <c r="AK64" s="623"/>
      <c r="AL64" s="2369" t="s">
        <v>444</v>
      </c>
      <c r="AM64" s="2369"/>
      <c r="AN64" s="624">
        <v>1</v>
      </c>
      <c r="AO64" s="624">
        <v>2</v>
      </c>
      <c r="AP64" s="624">
        <v>3</v>
      </c>
      <c r="AQ64" s="624">
        <v>4</v>
      </c>
      <c r="AR64" s="624">
        <v>5</v>
      </c>
      <c r="AS64" s="624">
        <v>6</v>
      </c>
      <c r="AT64" s="624">
        <v>7</v>
      </c>
      <c r="AU64" s="624">
        <v>8</v>
      </c>
      <c r="AV64" s="624">
        <v>9</v>
      </c>
      <c r="AW64" s="624">
        <v>10</v>
      </c>
      <c r="AX64" s="624">
        <v>11</v>
      </c>
      <c r="AY64" s="624">
        <v>12</v>
      </c>
      <c r="AZ64" s="624">
        <v>13</v>
      </c>
      <c r="BA64" s="624">
        <v>14</v>
      </c>
      <c r="BB64" s="624">
        <v>15</v>
      </c>
      <c r="BC64" s="624">
        <v>16</v>
      </c>
      <c r="BD64" s="624">
        <v>17</v>
      </c>
      <c r="BE64" s="624">
        <v>18</v>
      </c>
      <c r="BF64" s="624">
        <v>19</v>
      </c>
      <c r="BG64" s="624">
        <v>20</v>
      </c>
      <c r="BH64" s="624">
        <v>21</v>
      </c>
      <c r="BI64" s="624">
        <v>22</v>
      </c>
      <c r="BJ64" s="624">
        <v>23</v>
      </c>
      <c r="BK64" s="624">
        <v>24</v>
      </c>
      <c r="BL64" s="624">
        <v>25</v>
      </c>
      <c r="BM64" s="624">
        <v>26</v>
      </c>
      <c r="BN64" s="624">
        <v>27</v>
      </c>
      <c r="BO64" s="624">
        <v>28</v>
      </c>
      <c r="BP64" s="624">
        <v>29</v>
      </c>
      <c r="BQ64" s="624">
        <v>30</v>
      </c>
      <c r="BR64" s="624">
        <v>31</v>
      </c>
    </row>
    <row r="65" spans="1:70" ht="12" customHeight="1">
      <c r="A65" s="2361"/>
      <c r="B65" s="2363"/>
      <c r="C65" s="2366"/>
      <c r="D65" s="625" t="s">
        <v>445</v>
      </c>
      <c r="E65" s="966" t="str">
        <f t="shared" ref="E65:AI65" si="33">IF(E64&lt;&gt;"",HLOOKUP(WEEKDAY(DATE($A64,$B64,E64)),$AP$1:$AV$2,2,FALSE),"")</f>
        <v>（日）</v>
      </c>
      <c r="F65" s="964" t="str">
        <f t="shared" si="33"/>
        <v>（月）</v>
      </c>
      <c r="G65" s="964" t="str">
        <f t="shared" si="33"/>
        <v>（火）</v>
      </c>
      <c r="H65" s="964" t="str">
        <f t="shared" si="33"/>
        <v>（水）</v>
      </c>
      <c r="I65" s="964" t="str">
        <f t="shared" si="33"/>
        <v>（木）</v>
      </c>
      <c r="J65" s="964" t="str">
        <f t="shared" si="33"/>
        <v>（金）</v>
      </c>
      <c r="K65" s="964" t="str">
        <f t="shared" si="33"/>
        <v>（土）</v>
      </c>
      <c r="L65" s="964" t="str">
        <f t="shared" si="33"/>
        <v>（日）</v>
      </c>
      <c r="M65" s="964" t="str">
        <f t="shared" si="33"/>
        <v>（月）</v>
      </c>
      <c r="N65" s="964" t="str">
        <f t="shared" si="33"/>
        <v>（火）</v>
      </c>
      <c r="O65" s="964" t="str">
        <f t="shared" si="33"/>
        <v>（水）</v>
      </c>
      <c r="P65" s="964" t="str">
        <f t="shared" si="33"/>
        <v>（木）</v>
      </c>
      <c r="Q65" s="964" t="str">
        <f t="shared" si="33"/>
        <v>（金）</v>
      </c>
      <c r="R65" s="964" t="str">
        <f t="shared" si="33"/>
        <v>（土）</v>
      </c>
      <c r="S65" s="964" t="str">
        <f t="shared" si="33"/>
        <v>（日）</v>
      </c>
      <c r="T65" s="964" t="str">
        <f t="shared" si="33"/>
        <v>（月）</v>
      </c>
      <c r="U65" s="964" t="str">
        <f t="shared" si="33"/>
        <v>（火）</v>
      </c>
      <c r="V65" s="964" t="str">
        <f t="shared" si="33"/>
        <v>（水）</v>
      </c>
      <c r="W65" s="964" t="str">
        <f t="shared" si="33"/>
        <v>（木）</v>
      </c>
      <c r="X65" s="964" t="str">
        <f t="shared" si="33"/>
        <v>（金）</v>
      </c>
      <c r="Y65" s="964" t="str">
        <f t="shared" si="33"/>
        <v>（土）</v>
      </c>
      <c r="Z65" s="964" t="str">
        <f t="shared" si="33"/>
        <v>（日）</v>
      </c>
      <c r="AA65" s="964" t="str">
        <f t="shared" si="33"/>
        <v>（月）</v>
      </c>
      <c r="AB65" s="964" t="str">
        <f t="shared" si="33"/>
        <v>（火）</v>
      </c>
      <c r="AC65" s="964" t="str">
        <f t="shared" si="33"/>
        <v>（水）</v>
      </c>
      <c r="AD65" s="964" t="str">
        <f t="shared" si="33"/>
        <v>（木）</v>
      </c>
      <c r="AE65" s="964" t="str">
        <f t="shared" si="33"/>
        <v>（金）</v>
      </c>
      <c r="AF65" s="964" t="str">
        <f t="shared" si="33"/>
        <v>（土）</v>
      </c>
      <c r="AG65" s="964" t="str">
        <f t="shared" si="33"/>
        <v>（日）</v>
      </c>
      <c r="AH65" s="964" t="str">
        <f t="shared" si="33"/>
        <v>（月）</v>
      </c>
      <c r="AI65" s="967" t="str">
        <f t="shared" si="33"/>
        <v>（火）</v>
      </c>
      <c r="AJ65" s="2368"/>
      <c r="AK65" s="623"/>
      <c r="AL65" s="2369" t="s">
        <v>641</v>
      </c>
      <c r="AM65" s="2369"/>
      <c r="AN65" s="624" t="str">
        <f>IF(E64&lt;&gt;"",IF(OR(WEEKDAY(DATE($A64,$B64,E64),2)&gt;6,COUNTIF('休日情報(要更新)'!$A$5:$J$32,DATE($A64,$B64,E64)) &gt;=1),"○",IF(WEEKDAY(DATE($A64,$B64,E64),2)=6,"●","")),"×")</f>
        <v>○</v>
      </c>
      <c r="AO65" s="624" t="str">
        <f>IF(F64&lt;&gt;"",IF(OR(WEEKDAY(DATE($A64,$B64,F64),2)&gt;6,COUNTIF('休日情報(要更新)'!$A$5:$J$32,DATE($A64,$B64,F64)) &gt;=1),"○",IF(WEEKDAY(DATE($A64,$B64,F64),2)=6,"●","")),"×")</f>
        <v/>
      </c>
      <c r="AP65" s="624" t="str">
        <f>IF(G64&lt;&gt;"",IF(OR(WEEKDAY(DATE($A64,$B64,G64),2)&gt;6,COUNTIF('休日情報(要更新)'!$A$5:$J$32,DATE($A64,$B64,G64)) &gt;=1),"○",IF(WEEKDAY(DATE($A64,$B64,G64),2)=6,"●","")),"×")</f>
        <v/>
      </c>
      <c r="AQ65" s="624" t="str">
        <f>IF(H64&lt;&gt;"",IF(OR(WEEKDAY(DATE($A64,$B64,H64),2)&gt;6,COUNTIF('休日情報(要更新)'!$A$5:$J$32,DATE($A64,$B64,H64)) &gt;=1),"○",IF(WEEKDAY(DATE($A64,$B64,H64),2)=6,"●","")),"×")</f>
        <v/>
      </c>
      <c r="AR65" s="624" t="str">
        <f>IF(I64&lt;&gt;"",IF(OR(WEEKDAY(DATE($A64,$B64,I64),2)&gt;6,COUNTIF('休日情報(要更新)'!$A$5:$J$32,DATE($A64,$B64,I64)) &gt;=1),"○",IF(WEEKDAY(DATE($A64,$B64,I64),2)=6,"●","")),"×")</f>
        <v/>
      </c>
      <c r="AS65" s="624" t="str">
        <f>IF(J64&lt;&gt;"",IF(OR(WEEKDAY(DATE($A64,$B64,J64),2)&gt;6,COUNTIF('休日情報(要更新)'!$A$5:$J$32,DATE($A64,$B64,J64)) &gt;=1),"○",IF(WEEKDAY(DATE($A64,$B64,J64),2)=6,"●","")),"×")</f>
        <v/>
      </c>
      <c r="AT65" s="624" t="str">
        <f>IF(K64&lt;&gt;"",IF(OR(WEEKDAY(DATE($A64,$B64,K64),2)&gt;6,COUNTIF('休日情報(要更新)'!$A$5:$J$32,DATE($A64,$B64,K64)) &gt;=1),"○",IF(WEEKDAY(DATE($A64,$B64,K64),2)=6,"●","")),"×")</f>
        <v>●</v>
      </c>
      <c r="AU65" s="624" t="str">
        <f>IF(L64&lt;&gt;"",IF(OR(WEEKDAY(DATE($A64,$B64,L64),2)&gt;6,COUNTIF('休日情報(要更新)'!$A$5:$J$32,DATE($A64,$B64,L64)) &gt;=1),"○",IF(WEEKDAY(DATE($A64,$B64,L64),2)=6,"●","")),"×")</f>
        <v>○</v>
      </c>
      <c r="AV65" s="624" t="str">
        <f>IF(M64&lt;&gt;"",IF(OR(WEEKDAY(DATE($A64,$B64,M64),2)&gt;6,COUNTIF('休日情報(要更新)'!$A$5:$J$32,DATE($A64,$B64,M64)) &gt;=1),"○",IF(WEEKDAY(DATE($A64,$B64,M64),2)=6,"●","")),"×")</f>
        <v/>
      </c>
      <c r="AW65" s="624" t="str">
        <f>IF(N64&lt;&gt;"",IF(OR(WEEKDAY(DATE($A64,$B64,N64),2)&gt;6,COUNTIF('休日情報(要更新)'!$A$5:$J$32,DATE($A64,$B64,N64)) &gt;=1),"○",IF(WEEKDAY(DATE($A64,$B64,N64),2)=6,"●","")),"×")</f>
        <v/>
      </c>
      <c r="AX65" s="624" t="str">
        <f>IF(O64&lt;&gt;"",IF(OR(WEEKDAY(DATE($A64,$B64,O64),2)&gt;6,COUNTIF('休日情報(要更新)'!$A$5:$J$32,DATE($A64,$B64,O64)) &gt;=1),"○",IF(WEEKDAY(DATE($A64,$B64,O64),2)=6,"●","")),"×")</f>
        <v/>
      </c>
      <c r="AY65" s="624" t="str">
        <f>IF(P64&lt;&gt;"",IF(OR(WEEKDAY(DATE($A64,$B64,P64),2)&gt;6,COUNTIF('休日情報(要更新)'!$A$5:$J$32,DATE($A64,$B64,P64)) &gt;=1),"○",IF(WEEKDAY(DATE($A64,$B64,P64),2)=6,"●","")),"×")</f>
        <v/>
      </c>
      <c r="AZ65" s="624" t="str">
        <f>IF(Q64&lt;&gt;"",IF(OR(WEEKDAY(DATE($A64,$B64,Q64),2)&gt;6,COUNTIF('休日情報(要更新)'!$A$5:$J$32,DATE($A64,$B64,Q64)) &gt;=1),"○",IF(WEEKDAY(DATE($A64,$B64,Q64),2)=6,"●","")),"×")</f>
        <v/>
      </c>
      <c r="BA65" s="624" t="str">
        <f>IF(R64&lt;&gt;"",IF(OR(WEEKDAY(DATE($A64,$B64,R64),2)&gt;6,COUNTIF('休日情報(要更新)'!$A$5:$J$32,DATE($A64,$B64,R64)) &gt;=1),"○",IF(WEEKDAY(DATE($A64,$B64,R64),2)=6,"●","")),"×")</f>
        <v>●</v>
      </c>
      <c r="BB65" s="624" t="str">
        <f>IF(S64&lt;&gt;"",IF(OR(WEEKDAY(DATE($A64,$B64,S64),2)&gt;6,COUNTIF('休日情報(要更新)'!$A$5:$J$32,DATE($A64,$B64,S64)) &gt;=1),"○",IF(WEEKDAY(DATE($A64,$B64,S64),2)=6,"●","")),"×")</f>
        <v>○</v>
      </c>
      <c r="BC65" s="624" t="str">
        <f>IF(T64&lt;&gt;"",IF(OR(WEEKDAY(DATE($A64,$B64,T64),2)&gt;6,COUNTIF('休日情報(要更新)'!$A$5:$J$32,DATE($A64,$B64,T64)) &gt;=1),"○",IF(WEEKDAY(DATE($A64,$B64,T64),2)=6,"●","")),"×")</f>
        <v/>
      </c>
      <c r="BD65" s="624" t="str">
        <f>IF(U64&lt;&gt;"",IF(OR(WEEKDAY(DATE($A64,$B64,U64),2)&gt;6,COUNTIF('休日情報(要更新)'!$A$5:$J$32,DATE($A64,$B64,U64)) &gt;=1),"○",IF(WEEKDAY(DATE($A64,$B64,U64),2)=6,"●","")),"×")</f>
        <v/>
      </c>
      <c r="BE65" s="624" t="str">
        <f>IF(V64&lt;&gt;"",IF(OR(WEEKDAY(DATE($A64,$B64,V64),2)&gt;6,COUNTIF('休日情報(要更新)'!$A$5:$J$32,DATE($A64,$B64,V64)) &gt;=1),"○",IF(WEEKDAY(DATE($A64,$B64,V64),2)=6,"●","")),"×")</f>
        <v/>
      </c>
      <c r="BF65" s="624" t="str">
        <f>IF(W64&lt;&gt;"",IF(OR(WEEKDAY(DATE($A64,$B64,W64),2)&gt;6,COUNTIF('休日情報(要更新)'!$A$5:$J$32,DATE($A64,$B64,W64)) &gt;=1),"○",IF(WEEKDAY(DATE($A64,$B64,W64),2)=6,"●","")),"×")</f>
        <v/>
      </c>
      <c r="BG65" s="624" t="str">
        <f>IF(X64&lt;&gt;"",IF(OR(WEEKDAY(DATE($A64,$B64,X64),2)&gt;6,COUNTIF('休日情報(要更新)'!$A$5:$J$32,DATE($A64,$B64,X64)) &gt;=1),"○",IF(WEEKDAY(DATE($A64,$B64,X64),2)=6,"●","")),"×")</f>
        <v>○</v>
      </c>
      <c r="BH65" s="624" t="str">
        <f>IF(Y64&lt;&gt;"",IF(OR(WEEKDAY(DATE($A64,$B64,Y64),2)&gt;6,COUNTIF('休日情報(要更新)'!$A$5:$J$32,DATE($A64,$B64,Y64)) &gt;=1),"○",IF(WEEKDAY(DATE($A64,$B64,Y64),2)=6,"●","")),"×")</f>
        <v>●</v>
      </c>
      <c r="BI65" s="624" t="str">
        <f>IF(Z64&lt;&gt;"",IF(OR(WEEKDAY(DATE($A64,$B64,Z64),2)&gt;6,COUNTIF('休日情報(要更新)'!$A$5:$J$32,DATE($A64,$B64,Z64)) &gt;=1),"○",IF(WEEKDAY(DATE($A64,$B64,Z64),2)=6,"●","")),"×")</f>
        <v>○</v>
      </c>
      <c r="BJ65" s="624" t="str">
        <f>IF(AA64&lt;&gt;"",IF(OR(WEEKDAY(DATE($A64,$B64,AA64),2)&gt;6,COUNTIF('休日情報(要更新)'!$A$5:$J$32,DATE($A64,$B64,AA64)) &gt;=1),"○",IF(WEEKDAY(DATE($A64,$B64,AA64),2)=6,"●","")),"×")</f>
        <v/>
      </c>
      <c r="BK65" s="624" t="str">
        <f>IF(AB64&lt;&gt;"",IF(OR(WEEKDAY(DATE($A64,$B64,AB64),2)&gt;6,COUNTIF('休日情報(要更新)'!$A$5:$J$32,DATE($A64,$B64,AB64)) &gt;=1),"○",IF(WEEKDAY(DATE($A64,$B64,AB64),2)=6,"●","")),"×")</f>
        <v/>
      </c>
      <c r="BL65" s="624" t="str">
        <f>IF(AC64&lt;&gt;"",IF(OR(WEEKDAY(DATE($A64,$B64,AC64),2)&gt;6,COUNTIF('休日情報(要更新)'!$A$5:$J$32,DATE($A64,$B64,AC64)) &gt;=1),"○",IF(WEEKDAY(DATE($A64,$B64,AC64),2)=6,"●","")),"×")</f>
        <v/>
      </c>
      <c r="BM65" s="624" t="str">
        <f>IF(AD64&lt;&gt;"",IF(OR(WEEKDAY(DATE($A64,$B64,AD64),2)&gt;6,COUNTIF('休日情報(要更新)'!$A$5:$J$32,DATE($A64,$B64,AD64)) &gt;=1),"○",IF(WEEKDAY(DATE($A64,$B64,AD64),2)=6,"●","")),"×")</f>
        <v/>
      </c>
      <c r="BN65" s="624" t="str">
        <f>IF(AE64&lt;&gt;"",IF(OR(WEEKDAY(DATE($A64,$B64,AE64),2)&gt;6,COUNTIF('休日情報(要更新)'!$A$5:$J$32,DATE($A64,$B64,AE64)) &gt;=1),"○",IF(WEEKDAY(DATE($A64,$B64,AE64),2)=6,"●","")),"×")</f>
        <v/>
      </c>
      <c r="BO65" s="624" t="str">
        <f>IF(AF64&lt;&gt;"",IF(OR(WEEKDAY(DATE($A64,$B64,AF64),2)&gt;6,COUNTIF('休日情報(要更新)'!$A$5:$J$32,DATE($A64,$B64,AF64)) &gt;=1),"○",IF(WEEKDAY(DATE($A64,$B64,AF64),2)=6,"●","")),"×")</f>
        <v>●</v>
      </c>
      <c r="BP65" s="624" t="str">
        <f>IF(AG64&lt;&gt;"",IF(OR(WEEKDAY(DATE($A64,$B64,AG64),2)&gt;6,COUNTIF('休日情報(要更新)'!$A$5:$J$32,DATE($A64,$B64,AG64)) &gt;=1),"○",IF(WEEKDAY(DATE($A64,$B64,AG64),2)=6,"●","")),"×")</f>
        <v>○</v>
      </c>
      <c r="BQ65" s="624" t="str">
        <f>IF(AH64&lt;&gt;"",IF(OR(WEEKDAY(DATE($A64,$B64,AH64),2)&gt;6,COUNTIF('休日情報(要更新)'!$A$5:$J$32,DATE($A64,$B64,AH64)) &gt;=1),"○",IF(WEEKDAY(DATE($A64,$B64,AH64),2)=6,"●","")),"×")</f>
        <v/>
      </c>
      <c r="BR65" s="624" t="str">
        <f>IF(AI64&lt;&gt;"",IF(OR(WEEKDAY(DATE($A64,$B64,AI64),2)&gt;6,COUNTIF('休日情報(要更新)'!$A$5:$J$32,DATE($A64,$B64,AI64)) &gt;=1),"○",IF(WEEKDAY(DATE($A64,$B64,AI64),2)=6,"●","")),"×")</f>
        <v/>
      </c>
    </row>
    <row r="66" spans="1:70" ht="12" customHeight="1">
      <c r="A66" s="2361"/>
      <c r="B66" s="2363"/>
      <c r="C66" s="2370"/>
      <c r="D66" s="626" t="s">
        <v>653</v>
      </c>
      <c r="E66" s="627"/>
      <c r="F66" s="628"/>
      <c r="G66" s="628"/>
      <c r="H66" s="628"/>
      <c r="I66" s="628"/>
      <c r="J66" s="628"/>
      <c r="K66" s="628"/>
      <c r="L66" s="628"/>
      <c r="M66" s="628"/>
      <c r="N66" s="628"/>
      <c r="O66" s="628"/>
      <c r="P66" s="628"/>
      <c r="Q66" s="628"/>
      <c r="R66" s="628"/>
      <c r="S66" s="628"/>
      <c r="T66" s="628"/>
      <c r="U66" s="628"/>
      <c r="V66" s="628"/>
      <c r="W66" s="628"/>
      <c r="X66" s="628"/>
      <c r="Y66" s="628"/>
      <c r="Z66" s="628"/>
      <c r="AA66" s="628"/>
      <c r="AB66" s="628"/>
      <c r="AC66" s="628"/>
      <c r="AD66" s="628"/>
      <c r="AE66" s="628"/>
      <c r="AF66" s="628"/>
      <c r="AG66" s="628"/>
      <c r="AH66" s="628"/>
      <c r="AI66" s="629"/>
      <c r="AJ66" s="630">
        <f>COUNTIFS(AN65:BR65,"",E66:AI66,"○")</f>
        <v>0</v>
      </c>
      <c r="AK66" s="631"/>
    </row>
    <row r="67" spans="1:70" ht="12.75" customHeight="1">
      <c r="A67" s="2361"/>
      <c r="B67" s="2363"/>
      <c r="C67" s="2371"/>
      <c r="D67" s="821" t="s">
        <v>654</v>
      </c>
      <c r="E67" s="822"/>
      <c r="F67" s="823"/>
      <c r="G67" s="823"/>
      <c r="H67" s="823"/>
      <c r="I67" s="823"/>
      <c r="J67" s="823"/>
      <c r="K67" s="823"/>
      <c r="L67" s="823"/>
      <c r="M67" s="823"/>
      <c r="N67" s="823"/>
      <c r="O67" s="823"/>
      <c r="P67" s="823"/>
      <c r="Q67" s="823"/>
      <c r="R67" s="823"/>
      <c r="S67" s="823"/>
      <c r="T67" s="823"/>
      <c r="U67" s="823"/>
      <c r="V67" s="823"/>
      <c r="W67" s="823"/>
      <c r="X67" s="823"/>
      <c r="Y67" s="823"/>
      <c r="Z67" s="823"/>
      <c r="AA67" s="823"/>
      <c r="AB67" s="823"/>
      <c r="AC67" s="823"/>
      <c r="AD67" s="823"/>
      <c r="AE67" s="823"/>
      <c r="AF67" s="823"/>
      <c r="AG67" s="823"/>
      <c r="AH67" s="823"/>
      <c r="AI67" s="824"/>
      <c r="AJ67" s="825">
        <f>COUNTIFS(E66:AI66,"○",AN65:BR65,"",E67:AI67,"○")</f>
        <v>0</v>
      </c>
    </row>
    <row r="68" spans="1:70" ht="13.5" customHeight="1" thickBot="1">
      <c r="B68" s="2379"/>
      <c r="C68" s="2380"/>
      <c r="D68" s="638" t="s">
        <v>1182</v>
      </c>
      <c r="E68" s="639"/>
      <c r="F68" s="640"/>
      <c r="G68" s="640"/>
      <c r="H68" s="640"/>
      <c r="I68" s="640"/>
      <c r="J68" s="640"/>
      <c r="K68" s="640"/>
      <c r="L68" s="640"/>
      <c r="M68" s="640"/>
      <c r="N68" s="640"/>
      <c r="O68" s="640"/>
      <c r="P68" s="640"/>
      <c r="Q68" s="640"/>
      <c r="R68" s="640"/>
      <c r="S68" s="640"/>
      <c r="T68" s="640"/>
      <c r="U68" s="640"/>
      <c r="V68" s="640"/>
      <c r="W68" s="640"/>
      <c r="X68" s="640"/>
      <c r="Y68" s="640"/>
      <c r="Z68" s="640"/>
      <c r="AA68" s="640"/>
      <c r="AB68" s="640"/>
      <c r="AC68" s="640"/>
      <c r="AD68" s="640"/>
      <c r="AE68" s="640"/>
      <c r="AF68" s="640"/>
      <c r="AG68" s="640"/>
      <c r="AH68" s="640"/>
      <c r="AI68" s="641"/>
      <c r="AJ68" s="642">
        <f>COUNTIFS(E66:AI66,"○",AN65:BR65,"",E67:AI67,"○",E68:AI68,"○")</f>
        <v>0</v>
      </c>
    </row>
    <row r="75" spans="1:70">
      <c r="AY75" s="613"/>
    </row>
  </sheetData>
  <sheetProtection algorithmName="SHA-512" hashValue="g9qRDCNlTdH7J4S6jiMQuhlH4+tb3RTfmPS30Z4rHNgvLWXsQKL1qPmIdJ+7xrvDlzYuRmwGXDnlIsxawuYoAg==" saltValue="XisPa7BA7AfQI4xYQ0CIYQ==" spinCount="100000" sheet="1" objects="1" scenarios="1"/>
  <mergeCells count="90">
    <mergeCell ref="A64:A67"/>
    <mergeCell ref="B64:B68"/>
    <mergeCell ref="C64:C65"/>
    <mergeCell ref="AJ64:AJ65"/>
    <mergeCell ref="AL64:AM64"/>
    <mergeCell ref="AL65:AM65"/>
    <mergeCell ref="C66:C68"/>
    <mergeCell ref="A59:A62"/>
    <mergeCell ref="B59:B63"/>
    <mergeCell ref="C59:C60"/>
    <mergeCell ref="AJ59:AJ60"/>
    <mergeCell ref="AL59:AM59"/>
    <mergeCell ref="AL60:AM60"/>
    <mergeCell ref="C61:C63"/>
    <mergeCell ref="A49:A52"/>
    <mergeCell ref="B49:B53"/>
    <mergeCell ref="C49:C50"/>
    <mergeCell ref="AJ49:AJ50"/>
    <mergeCell ref="AL49:AM49"/>
    <mergeCell ref="A54:A57"/>
    <mergeCell ref="B54:B58"/>
    <mergeCell ref="C54:C55"/>
    <mergeCell ref="AJ54:AJ55"/>
    <mergeCell ref="AL54:AM54"/>
    <mergeCell ref="AL55:AM55"/>
    <mergeCell ref="C56:C58"/>
    <mergeCell ref="AL39:AM39"/>
    <mergeCell ref="AL40:AM40"/>
    <mergeCell ref="C41:C43"/>
    <mergeCell ref="AL50:AM50"/>
    <mergeCell ref="C51:C53"/>
    <mergeCell ref="AL44:AM44"/>
    <mergeCell ref="AL45:AM45"/>
    <mergeCell ref="C46:C48"/>
    <mergeCell ref="AL7:AM7"/>
    <mergeCell ref="AN7:AQ7"/>
    <mergeCell ref="B8:E8"/>
    <mergeCell ref="G8:I8"/>
    <mergeCell ref="K8:N8"/>
    <mergeCell ref="AL19:AM19"/>
    <mergeCell ref="AL20:AM20"/>
    <mergeCell ref="C21:C23"/>
    <mergeCell ref="B24:B28"/>
    <mergeCell ref="C24:C25"/>
    <mergeCell ref="AJ24:AJ25"/>
    <mergeCell ref="AL24:AM24"/>
    <mergeCell ref="AL25:AM25"/>
    <mergeCell ref="A44:A47"/>
    <mergeCell ref="A29:A32"/>
    <mergeCell ref="B29:B33"/>
    <mergeCell ref="C29:C30"/>
    <mergeCell ref="AJ29:AJ30"/>
    <mergeCell ref="B44:B48"/>
    <mergeCell ref="C44:C45"/>
    <mergeCell ref="AJ44:AJ45"/>
    <mergeCell ref="C36:C38"/>
    <mergeCell ref="A39:A42"/>
    <mergeCell ref="B39:B43"/>
    <mergeCell ref="C39:C40"/>
    <mergeCell ref="AJ39:AJ40"/>
    <mergeCell ref="AL29:AM29"/>
    <mergeCell ref="AL30:AM30"/>
    <mergeCell ref="C31:C33"/>
    <mergeCell ref="A34:A37"/>
    <mergeCell ref="B34:B38"/>
    <mergeCell ref="C34:C35"/>
    <mergeCell ref="AJ34:AJ35"/>
    <mergeCell ref="AL34:AM34"/>
    <mergeCell ref="AL35:AM35"/>
    <mergeCell ref="A24:A27"/>
    <mergeCell ref="A14:A17"/>
    <mergeCell ref="B14:B18"/>
    <mergeCell ref="C14:C15"/>
    <mergeCell ref="AJ14:AJ15"/>
    <mergeCell ref="C26:C28"/>
    <mergeCell ref="C16:C18"/>
    <mergeCell ref="A19:A22"/>
    <mergeCell ref="B19:B23"/>
    <mergeCell ref="C19:C20"/>
    <mergeCell ref="AJ19:AJ20"/>
    <mergeCell ref="AL9:AM9"/>
    <mergeCell ref="AL10:AM10"/>
    <mergeCell ref="C11:C13"/>
    <mergeCell ref="AL14:AM14"/>
    <mergeCell ref="AL15:AM15"/>
    <mergeCell ref="AF1:AJ1"/>
    <mergeCell ref="A9:A12"/>
    <mergeCell ref="B9:B13"/>
    <mergeCell ref="C9:C10"/>
    <mergeCell ref="AJ9:AJ10"/>
  </mergeCells>
  <phoneticPr fontId="1"/>
  <conditionalFormatting sqref="E9:AI9 E14:AI14 E19:AI19 E24:AI24 E29:AI29 E34:AI34 E39:AI39 E44:AI44 E49:AI49 E54:AI54 E59:AI59 E64:AI64">
    <cfRule type="expression" dxfId="75" priority="1">
      <formula>AN10="○"</formula>
    </cfRule>
    <cfRule type="expression" dxfId="74" priority="3">
      <formula>AN10="●"</formula>
    </cfRule>
  </conditionalFormatting>
  <conditionalFormatting sqref="E10:AI10 E15:AI15 E20:AI20 E25:AI25 E30:AI30 E35:AI35 E40:AI40 E45:AI45 E50:AI50 E55:AI55 E60:AI60 E65:AI65">
    <cfRule type="expression" dxfId="73" priority="2">
      <formula>AN10="○"</formula>
    </cfRule>
    <cfRule type="expression" dxfId="72" priority="4">
      <formula>AN10="●"</formula>
    </cfRule>
  </conditionalFormatting>
  <conditionalFormatting sqref="E11:AI11 E16:AI16 E21:AI21 E26:AI26 E31:AI31 E36:AI36 E41:AI41 E46:AI46 E51:AI51 E56:AI56 E61:AI61 E66:AI66">
    <cfRule type="expression" dxfId="71" priority="5">
      <formula>AN10&lt;&gt;""</formula>
    </cfRule>
  </conditionalFormatting>
  <conditionalFormatting sqref="E12:AI12 E17:AI17 E22:AI22 E27:AI27 E32:AI32 E37:AI37 E42:AI42 E47:AI47 E52:AI52 E57:AI57 E62:AI62 E67:AI67">
    <cfRule type="expression" dxfId="70" priority="6">
      <formula>AN10&lt;&gt;""</formula>
    </cfRule>
  </conditionalFormatting>
  <conditionalFormatting sqref="E12:AI13 E17:AI18 E22:AI23 E27:AI28 E32:AI33 E37:AI38 E42:AI43 E47:AI48 E52:AI53 E57:AI58 E62:AI63 E67:AI68">
    <cfRule type="expression" dxfId="69" priority="8">
      <formula>E11&lt;&gt;"○"</formula>
    </cfRule>
  </conditionalFormatting>
  <conditionalFormatting sqref="E13:AI13 E18:AI18 E23:AI23 E28:AI28 E33:AI33 E38:AI38 E43:AI43 E48:AI48 E53:AI53 E58:AI58 E63:AI63 E68:AI68">
    <cfRule type="expression" dxfId="68" priority="7">
      <formula>AN10&lt;&gt;""</formula>
    </cfRule>
  </conditionalFormatting>
  <dataValidations count="3">
    <dataValidation imeMode="halfAlpha" allowBlank="1" showInputMessage="1" showErrorMessage="1" sqref="AJ61:AK61 AJ16:AK16 AJ21:AK21 AJ26:AK26 AJ31:AK31 AJ36:AK36 AJ41:AK41 AJ46:AK46 AJ51:AK51 AJ56:AK56 AJ57:AJ58 AJ11:AK11 AJ12:AJ13 AJ62:AJ63 AJ17:AJ18 AJ22:AJ23 AJ27:AJ28 AJ32:AJ33 AJ37:AJ38 AJ42:AJ43 AJ47:AJ48 AJ52:AJ53 AJ66:AK66 AJ67:AJ68" xr:uid="{00000000-0002-0000-0900-000000000000}"/>
    <dataValidation type="list" imeMode="halfAlpha" showErrorMessage="1" sqref="E11:AI13 E66:AI68 E61:AI63 E56:AI58 E51:AI53 E46:AI48 E41:AI43 E36:AI38 E31:AI33 E26:AI28 E21:AI23 E16:AI18" xr:uid="{00000000-0002-0000-0900-000001000000}">
      <formula1>$AM$2:$AM$3</formula1>
    </dataValidation>
    <dataValidation type="list" allowBlank="1" showInputMessage="1" showErrorMessage="1" sqref="C11:C13 C66:C68 C61:C63 C56:C58 C51:C53 C46:C48 C41:C43 C36:C38 C31:C33 C26:C28 C21:C23 C16:C18" xr:uid="{00000000-0002-0000-0900-000002000000}">
      <formula1>$AN$2:$AN$6</formula1>
    </dataValidation>
  </dataValidations>
  <printOptions horizontalCentered="1"/>
  <pageMargins left="0" right="0" top="0.70866141732283472" bottom="0.59055118110236227" header="0" footer="0"/>
  <pageSetup paperSize="9" scale="63" orientation="landscape" r:id="rId1"/>
  <headerFooter alignWithMargins="0">
    <oddHeader xml:space="preserve">&amp;R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00B0F0"/>
  </sheetPr>
  <dimension ref="A1:AD83"/>
  <sheetViews>
    <sheetView view="pageBreakPreview" zoomScale="90" zoomScaleNormal="100" zoomScaleSheetLayoutView="90" workbookViewId="0">
      <selection sqref="A1:K1"/>
    </sheetView>
  </sheetViews>
  <sheetFormatPr defaultColWidth="9" defaultRowHeight="13.5" outlineLevelCol="1"/>
  <cols>
    <col min="1" max="3" width="7.625" style="187" customWidth="1"/>
    <col min="4" max="16" width="8.625" style="187" customWidth="1"/>
    <col min="17" max="17" width="53" style="187" customWidth="1"/>
    <col min="18" max="29" width="9" style="187" hidden="1" customWidth="1" outlineLevel="1"/>
    <col min="30" max="30" width="9" style="187" collapsed="1"/>
    <col min="31" max="16384" width="9" style="187"/>
  </cols>
  <sheetData>
    <row r="1" spans="1:20" ht="23.1" customHeight="1">
      <c r="A1" s="2388" t="s">
        <v>1200</v>
      </c>
      <c r="B1" s="2388"/>
      <c r="C1" s="2388"/>
      <c r="D1" s="2388"/>
      <c r="E1" s="2388"/>
      <c r="F1" s="2388"/>
      <c r="G1" s="2388"/>
      <c r="H1" s="2388"/>
      <c r="I1" s="2388"/>
      <c r="J1" s="2388"/>
      <c r="K1" s="2388"/>
      <c r="L1" s="2383" t="str">
        <f>R2&amp;"別紙6-1"&amp;R3</f>
        <v>加-25_4月申-別紙6-1-認_Ver.4.02</v>
      </c>
      <c r="M1" s="2383"/>
      <c r="N1" s="2383"/>
      <c r="O1" s="2383"/>
      <c r="P1" s="2383"/>
      <c r="R1" s="264" t="s">
        <v>1163</v>
      </c>
      <c r="S1" s="188" t="s">
        <v>85</v>
      </c>
      <c r="T1" s="188" t="s">
        <v>1180</v>
      </c>
    </row>
    <row r="2" spans="1:20" ht="23.1" customHeight="1">
      <c r="A2" s="186"/>
      <c r="B2" s="186"/>
      <c r="C2" s="186"/>
      <c r="D2" s="186"/>
      <c r="E2" s="186"/>
      <c r="F2" s="186"/>
      <c r="G2" s="186"/>
      <c r="H2" s="186"/>
      <c r="I2" s="186"/>
      <c r="J2" s="186"/>
      <c r="K2" s="186"/>
      <c r="L2" s="2384" t="e">
        <f>DATE(【様式１】総括表・個票!S397,【様式１】総括表・個票!X397,【様式１】総括表・個票!AA397)</f>
        <v>#NUM!</v>
      </c>
      <c r="M2" s="2384"/>
      <c r="N2" s="2384"/>
      <c r="O2" s="2384"/>
      <c r="P2" s="2384"/>
      <c r="R2" s="264" t="str">
        <f>【様式１】総括表・個票!$AJ$2</f>
        <v>加-25_4月申-</v>
      </c>
      <c r="S2" s="69"/>
      <c r="T2" s="188">
        <f>【様式１】総括表・個票!AK2</f>
        <v>2025</v>
      </c>
    </row>
    <row r="3" spans="1:20" ht="23.1" customHeight="1">
      <c r="A3" s="186"/>
      <c r="B3" s="186"/>
      <c r="C3" s="186"/>
      <c r="D3" s="186"/>
      <c r="E3" s="186"/>
      <c r="F3" s="186"/>
      <c r="G3" s="186"/>
      <c r="H3" s="186"/>
      <c r="I3" s="186"/>
      <c r="J3" s="186"/>
      <c r="K3" s="186"/>
      <c r="L3" s="186"/>
      <c r="M3" s="186"/>
      <c r="N3" s="186"/>
      <c r="O3" s="186"/>
      <c r="P3" s="186"/>
      <c r="R3" s="264" t="str">
        <f>【様式１】総括表・個票!$AJ$3</f>
        <v>-認_Ver.4.02</v>
      </c>
      <c r="S3" s="69">
        <v>4</v>
      </c>
      <c r="T3" s="835"/>
    </row>
    <row r="4" spans="1:20" ht="23.1" customHeight="1">
      <c r="A4" s="186"/>
      <c r="B4" s="186" t="s">
        <v>1206</v>
      </c>
      <c r="C4" s="186"/>
      <c r="D4" s="186"/>
      <c r="E4" s="186"/>
      <c r="F4" s="186"/>
      <c r="G4" s="186"/>
      <c r="H4" s="186"/>
      <c r="I4" s="186"/>
      <c r="J4" s="186"/>
      <c r="K4" s="186"/>
      <c r="L4" s="186"/>
      <c r="M4" s="186"/>
      <c r="N4" s="186"/>
      <c r="O4" s="186"/>
      <c r="P4" s="186"/>
      <c r="S4" s="69">
        <v>5</v>
      </c>
    </row>
    <row r="5" spans="1:20" ht="23.1" customHeight="1">
      <c r="A5" s="186"/>
      <c r="B5" s="186"/>
      <c r="C5" s="186"/>
      <c r="D5" s="186"/>
      <c r="E5" s="186"/>
      <c r="F5" s="186"/>
      <c r="G5" s="186"/>
      <c r="H5" s="186"/>
      <c r="I5" s="186"/>
      <c r="J5" s="186"/>
      <c r="K5" s="186"/>
      <c r="L5" s="186"/>
      <c r="M5" s="186"/>
      <c r="N5" s="186"/>
      <c r="O5" s="186"/>
      <c r="P5" s="186"/>
      <c r="S5" s="69">
        <v>6</v>
      </c>
    </row>
    <row r="6" spans="1:20" ht="23.1" customHeight="1">
      <c r="A6" s="186"/>
      <c r="B6" s="186"/>
      <c r="C6" s="186"/>
      <c r="D6" s="186"/>
      <c r="E6" s="186"/>
      <c r="F6" s="186"/>
      <c r="G6" s="186"/>
      <c r="H6" s="186"/>
      <c r="I6" s="2385" t="s">
        <v>703</v>
      </c>
      <c r="J6" s="959" t="s">
        <v>704</v>
      </c>
      <c r="K6" s="2386" t="str">
        <f>CONCATENATE(【様式１】総括表・個票!$S$6)</f>
        <v/>
      </c>
      <c r="L6" s="2386"/>
      <c r="M6" s="2386"/>
      <c r="N6" s="2386"/>
      <c r="O6" s="2386"/>
      <c r="P6" s="186"/>
      <c r="S6" s="69">
        <v>7</v>
      </c>
    </row>
    <row r="7" spans="1:20" ht="23.1" customHeight="1">
      <c r="A7" s="186"/>
      <c r="B7" s="186"/>
      <c r="C7" s="186"/>
      <c r="D7" s="186"/>
      <c r="E7" s="186"/>
      <c r="F7" s="186"/>
      <c r="G7" s="186"/>
      <c r="H7" s="186"/>
      <c r="I7" s="2385"/>
      <c r="J7" s="186" t="s">
        <v>705</v>
      </c>
      <c r="K7" s="2387" t="str">
        <f>CONCATENATE(【様式１】総括表・個票!$S$7)</f>
        <v/>
      </c>
      <c r="L7" s="2387"/>
      <c r="M7" s="2387"/>
      <c r="N7" s="2387"/>
      <c r="O7" s="2387"/>
      <c r="P7" s="186"/>
      <c r="S7" s="69">
        <v>8</v>
      </c>
    </row>
    <row r="8" spans="1:20" ht="23.1" customHeight="1">
      <c r="A8" s="186"/>
      <c r="B8" s="186"/>
      <c r="C8" s="186"/>
      <c r="D8" s="186"/>
      <c r="E8" s="186"/>
      <c r="F8" s="186"/>
      <c r="G8" s="186"/>
      <c r="H8" s="186"/>
      <c r="I8" s="186"/>
      <c r="J8" s="186"/>
      <c r="K8" s="186"/>
      <c r="L8" s="186"/>
      <c r="M8" s="186"/>
      <c r="N8" s="186"/>
      <c r="O8" s="959"/>
      <c r="P8" s="186"/>
      <c r="S8" s="69">
        <v>9</v>
      </c>
    </row>
    <row r="9" spans="1:20" ht="23.1" customHeight="1">
      <c r="A9" s="186"/>
      <c r="B9" s="186"/>
      <c r="C9" s="186"/>
      <c r="D9" s="186"/>
      <c r="E9" s="186"/>
      <c r="F9" s="186"/>
      <c r="G9" s="186"/>
      <c r="H9" s="186"/>
      <c r="I9" s="186"/>
      <c r="J9" s="186"/>
      <c r="K9" s="186"/>
      <c r="L9" s="186"/>
      <c r="M9" s="186"/>
      <c r="N9" s="186"/>
      <c r="O9" s="186"/>
      <c r="P9" s="186"/>
      <c r="S9" s="69">
        <v>10</v>
      </c>
    </row>
    <row r="10" spans="1:20" ht="23.1" customHeight="1">
      <c r="A10" s="186"/>
      <c r="B10" s="186"/>
      <c r="C10" s="186"/>
      <c r="D10" s="2382" t="s">
        <v>905</v>
      </c>
      <c r="E10" s="2382"/>
      <c r="F10" s="2382"/>
      <c r="G10" s="2382"/>
      <c r="H10" s="2382"/>
      <c r="I10" s="2382"/>
      <c r="J10" s="2382"/>
      <c r="K10" s="2382"/>
      <c r="L10" s="2382"/>
      <c r="M10" s="2382"/>
      <c r="N10" s="186"/>
      <c r="O10" s="186"/>
      <c r="P10" s="186"/>
      <c r="S10" s="69">
        <v>11</v>
      </c>
    </row>
    <row r="11" spans="1:20" ht="23.1" customHeight="1">
      <c r="A11" s="186"/>
      <c r="B11" s="186"/>
      <c r="C11" s="186"/>
      <c r="D11" s="186"/>
      <c r="E11" s="186"/>
      <c r="F11" s="186"/>
      <c r="G11" s="186"/>
      <c r="H11" s="186"/>
      <c r="I11" s="186"/>
      <c r="J11" s="186"/>
      <c r="K11" s="186"/>
      <c r="L11" s="186"/>
      <c r="M11" s="186"/>
      <c r="N11" s="186"/>
      <c r="O11" s="186"/>
      <c r="P11" s="186"/>
      <c r="S11" s="69">
        <v>1</v>
      </c>
    </row>
    <row r="12" spans="1:20" ht="23.1" customHeight="1">
      <c r="A12" s="2389" t="str">
        <f>"　教育の提供について、２年度間常に１号認定こどもの利用定員を超えており、かつ、年間平均在所率が120%以上の状態にありましたが、"&amp;【様式１】総括表・個票!$AK$2&amp;"年度についてはこの状態を解消できる見込みであるため、下記のとおり申し出いたします。"</f>
        <v>　教育の提供について、２年度間常に１号認定こどもの利用定員を超えており、かつ、年間平均在所率が120%以上の状態にありましたが、2025年度についてはこの状態を解消できる見込みであるため、下記のとおり申し出いたします。</v>
      </c>
      <c r="B12" s="2389"/>
      <c r="C12" s="2389"/>
      <c r="D12" s="2389"/>
      <c r="E12" s="2389"/>
      <c r="F12" s="2389"/>
      <c r="G12" s="2389"/>
      <c r="H12" s="2389"/>
      <c r="I12" s="2389"/>
      <c r="J12" s="2389"/>
      <c r="K12" s="2389"/>
      <c r="L12" s="2389"/>
      <c r="M12" s="2389"/>
      <c r="N12" s="2389"/>
      <c r="O12" s="2389"/>
      <c r="P12" s="2389"/>
      <c r="S12" s="69">
        <v>2</v>
      </c>
    </row>
    <row r="13" spans="1:20" ht="23.1" customHeight="1">
      <c r="A13" s="2389"/>
      <c r="B13" s="2389"/>
      <c r="C13" s="2389"/>
      <c r="D13" s="2389"/>
      <c r="E13" s="2389"/>
      <c r="F13" s="2389"/>
      <c r="G13" s="2389"/>
      <c r="H13" s="2389"/>
      <c r="I13" s="2389"/>
      <c r="J13" s="2389"/>
      <c r="K13" s="2389"/>
      <c r="L13" s="2389"/>
      <c r="M13" s="2389"/>
      <c r="N13" s="2389"/>
      <c r="O13" s="2389"/>
      <c r="P13" s="2389"/>
      <c r="S13" s="69">
        <v>3</v>
      </c>
    </row>
    <row r="14" spans="1:20" ht="23.1" customHeight="1">
      <c r="A14" s="2389"/>
      <c r="B14" s="2389"/>
      <c r="C14" s="2389"/>
      <c r="D14" s="2389"/>
      <c r="E14" s="2389"/>
      <c r="F14" s="2389"/>
      <c r="G14" s="2389"/>
      <c r="H14" s="2389"/>
      <c r="I14" s="2389"/>
      <c r="J14" s="2389"/>
      <c r="K14" s="2389"/>
      <c r="L14" s="2389"/>
      <c r="M14" s="2389"/>
      <c r="N14" s="2389"/>
      <c r="O14" s="2389"/>
      <c r="P14" s="2389"/>
    </row>
    <row r="15" spans="1:20" ht="23.1" customHeight="1">
      <c r="A15" s="2389"/>
      <c r="B15" s="2389"/>
      <c r="C15" s="2389"/>
      <c r="D15" s="2389"/>
      <c r="E15" s="2389"/>
      <c r="F15" s="2389"/>
      <c r="G15" s="2389"/>
      <c r="H15" s="2389"/>
      <c r="I15" s="2389"/>
      <c r="J15" s="2389"/>
      <c r="K15" s="2389"/>
      <c r="L15" s="2389"/>
      <c r="M15" s="2389"/>
      <c r="N15" s="2389"/>
      <c r="O15" s="2389"/>
      <c r="P15" s="2389"/>
    </row>
    <row r="16" spans="1:20" ht="23.1" customHeight="1">
      <c r="A16" s="2390" t="s">
        <v>707</v>
      </c>
      <c r="B16" s="2390"/>
      <c r="C16" s="2390"/>
      <c r="D16" s="2390"/>
      <c r="E16" s="2390"/>
      <c r="F16" s="2390"/>
      <c r="G16" s="2390"/>
      <c r="H16" s="2390"/>
      <c r="I16" s="2390"/>
      <c r="J16" s="2390"/>
      <c r="K16" s="2390"/>
      <c r="L16" s="2390"/>
      <c r="M16" s="2390"/>
      <c r="N16" s="2390"/>
      <c r="O16" s="2390"/>
      <c r="P16" s="2390"/>
    </row>
    <row r="17" spans="1:29" ht="23.1" customHeight="1">
      <c r="A17" s="186"/>
      <c r="B17" s="186"/>
      <c r="C17" s="186"/>
      <c r="D17" s="186"/>
      <c r="E17" s="186"/>
      <c r="F17" s="186"/>
      <c r="G17" s="186"/>
      <c r="H17" s="186"/>
      <c r="I17" s="186"/>
      <c r="J17" s="186"/>
      <c r="K17" s="186"/>
      <c r="L17" s="186"/>
      <c r="M17" s="186"/>
      <c r="N17" s="186"/>
      <c r="O17" s="186"/>
      <c r="P17" s="186"/>
    </row>
    <row r="18" spans="1:29" ht="23.1" customHeight="1">
      <c r="A18" s="2391" t="s">
        <v>708</v>
      </c>
      <c r="B18" s="2391"/>
      <c r="C18" s="2391"/>
      <c r="D18" s="2391"/>
      <c r="E18" s="2391"/>
      <c r="F18" s="186"/>
      <c r="G18" s="186"/>
      <c r="H18" s="186"/>
      <c r="I18" s="186"/>
      <c r="J18" s="186"/>
      <c r="K18" s="186"/>
      <c r="L18" s="186"/>
      <c r="M18" s="186"/>
      <c r="N18" s="186"/>
      <c r="O18" s="186"/>
      <c r="P18" s="186"/>
    </row>
    <row r="19" spans="1:29" ht="23.1" customHeight="1">
      <c r="A19" s="186"/>
      <c r="B19" s="2392">
        <f>【様式１】総括表・個票!D12</f>
        <v>0</v>
      </c>
      <c r="C19" s="2392"/>
      <c r="D19" s="2392"/>
      <c r="E19" s="2392"/>
      <c r="F19" s="2392"/>
      <c r="G19" s="2392"/>
      <c r="H19" s="186"/>
      <c r="I19" s="186"/>
      <c r="J19" s="186"/>
      <c r="K19" s="186"/>
      <c r="L19" s="186"/>
      <c r="M19" s="186"/>
      <c r="N19" s="186"/>
      <c r="O19" s="186"/>
      <c r="P19" s="186"/>
    </row>
    <row r="20" spans="1:29" ht="23.1" customHeight="1">
      <c r="A20" s="186"/>
      <c r="B20" s="186"/>
      <c r="C20" s="186"/>
      <c r="D20" s="186"/>
      <c r="E20" s="186"/>
      <c r="F20" s="186"/>
      <c r="G20" s="186"/>
      <c r="H20" s="186"/>
      <c r="I20" s="186"/>
      <c r="J20" s="186"/>
      <c r="K20" s="186"/>
      <c r="L20" s="186"/>
      <c r="M20" s="186"/>
      <c r="N20" s="186"/>
      <c r="O20" s="186"/>
      <c r="P20" s="186"/>
    </row>
    <row r="21" spans="1:29" ht="23.1" customHeight="1">
      <c r="A21" s="2391" t="s">
        <v>1192</v>
      </c>
      <c r="B21" s="2391"/>
      <c r="C21" s="2391"/>
      <c r="D21" s="2391"/>
      <c r="E21" s="2391"/>
      <c r="F21" s="186"/>
      <c r="G21" s="186"/>
      <c r="H21" s="186"/>
      <c r="I21" s="186"/>
      <c r="J21" s="186"/>
      <c r="K21" s="186"/>
      <c r="L21" s="186"/>
      <c r="M21" s="186"/>
      <c r="N21" s="186"/>
      <c r="O21" s="186"/>
      <c r="P21" s="186"/>
    </row>
    <row r="22" spans="1:29" ht="23.1" customHeight="1">
      <c r="A22" s="186"/>
      <c r="B22" s="2381" t="str">
        <f>CONCATENATE(【様式１】総括表・個票!S398)</f>
        <v/>
      </c>
      <c r="C22" s="2381"/>
      <c r="D22" s="2381"/>
      <c r="E22" s="2381"/>
      <c r="F22" s="2381"/>
      <c r="G22" s="2381"/>
      <c r="H22" s="186"/>
      <c r="I22" s="186"/>
      <c r="J22" s="186"/>
      <c r="K22" s="186"/>
      <c r="L22" s="186"/>
      <c r="M22" s="186"/>
      <c r="N22" s="186"/>
      <c r="O22" s="186"/>
      <c r="P22" s="186"/>
    </row>
    <row r="23" spans="1:29" ht="23.1" customHeight="1">
      <c r="A23" s="186"/>
      <c r="B23" s="186"/>
      <c r="C23" s="186"/>
      <c r="D23" s="186"/>
      <c r="E23" s="186"/>
      <c r="F23" s="186"/>
      <c r="G23" s="186"/>
      <c r="H23" s="186"/>
      <c r="I23" s="186"/>
      <c r="J23" s="186"/>
      <c r="K23" s="186"/>
      <c r="L23" s="186"/>
      <c r="M23" s="186"/>
      <c r="N23" s="186"/>
      <c r="O23" s="186"/>
      <c r="P23" s="186"/>
      <c r="R23" s="957" t="str">
        <f>IF(B22&lt;&gt;"","○","")</f>
        <v/>
      </c>
    </row>
    <row r="24" spans="1:29" ht="23.1" customHeight="1">
      <c r="A24" s="186"/>
      <c r="B24" s="186" t="s">
        <v>709</v>
      </c>
      <c r="C24" s="186"/>
      <c r="D24" s="186"/>
      <c r="E24" s="186"/>
      <c r="F24" s="186"/>
      <c r="G24" s="186"/>
      <c r="H24" s="186"/>
      <c r="I24" s="186"/>
      <c r="J24" s="186"/>
      <c r="K24" s="186"/>
      <c r="L24" s="186"/>
      <c r="M24" s="186"/>
      <c r="N24" s="186"/>
      <c r="O24" s="186"/>
      <c r="P24" s="186"/>
    </row>
    <row r="25" spans="1:29" ht="23.1" customHeight="1">
      <c r="A25" s="186"/>
      <c r="B25" s="2385" t="str">
        <f>IF($R$23="○","見直し前","定員")</f>
        <v>定員</v>
      </c>
      <c r="C25" s="2385"/>
      <c r="D25" s="2396">
        <f>【様式１】総括表・個票!H14</f>
        <v>0</v>
      </c>
      <c r="E25" s="2396"/>
      <c r="F25" s="186" t="s">
        <v>344</v>
      </c>
      <c r="G25" s="186"/>
      <c r="H25" s="186"/>
      <c r="I25" s="186"/>
      <c r="J25" s="186"/>
      <c r="K25" s="186"/>
      <c r="L25" s="186"/>
      <c r="M25" s="186"/>
      <c r="N25" s="186"/>
      <c r="O25" s="186"/>
      <c r="P25" s="186"/>
    </row>
    <row r="26" spans="1:29" ht="23.1" customHeight="1">
      <c r="A26" s="186"/>
      <c r="B26" s="2385" t="str">
        <f>IF($R$23="○","見直し後","")</f>
        <v/>
      </c>
      <c r="C26" s="2385"/>
      <c r="D26" s="2397"/>
      <c r="E26" s="2397"/>
      <c r="F26" s="186" t="str">
        <f>IF($R$23="○","人","")</f>
        <v/>
      </c>
      <c r="G26" s="2385" t="str">
        <f>IF($R$23="○","（見直した月","")</f>
        <v/>
      </c>
      <c r="H26" s="2385"/>
      <c r="I26" s="2385"/>
      <c r="J26" s="2395"/>
      <c r="K26" s="2395"/>
      <c r="L26" s="186" t="str">
        <f>IF($R$23="○","月）","")</f>
        <v/>
      </c>
      <c r="M26" s="186"/>
      <c r="N26" s="186"/>
      <c r="O26" s="186"/>
      <c r="P26" s="186"/>
      <c r="R26" s="188">
        <f>D25</f>
        <v>0</v>
      </c>
    </row>
    <row r="27" spans="1:29" ht="23.1" customHeight="1">
      <c r="A27" s="186"/>
      <c r="B27" s="186"/>
      <c r="C27" s="186"/>
      <c r="D27" s="186"/>
      <c r="E27" s="186"/>
      <c r="F27" s="186"/>
      <c r="G27" s="186"/>
      <c r="H27" s="186"/>
      <c r="I27" s="186"/>
      <c r="J27" s="186"/>
      <c r="K27" s="186"/>
      <c r="L27" s="186"/>
      <c r="M27" s="186"/>
      <c r="N27" s="186"/>
      <c r="O27" s="186"/>
      <c r="P27" s="186"/>
      <c r="R27" s="188">
        <f>IF(D26="",R26,D26)</f>
        <v>0</v>
      </c>
      <c r="S27" s="189">
        <f>IF(OR(J26="",J26=0),12,IF(J26&gt;=4,J26-3,J26+9))</f>
        <v>12</v>
      </c>
    </row>
    <row r="28" spans="1:29" ht="23.1" customHeight="1">
      <c r="A28" s="186"/>
      <c r="B28" s="186" t="s">
        <v>710</v>
      </c>
      <c r="C28" s="186"/>
      <c r="D28" s="186"/>
      <c r="E28" s="186"/>
      <c r="F28" s="186"/>
      <c r="G28" s="186"/>
      <c r="H28" s="186"/>
      <c r="I28" s="186"/>
      <c r="J28" s="186"/>
      <c r="K28" s="186"/>
      <c r="L28" s="186"/>
      <c r="M28" s="186"/>
      <c r="N28" s="186"/>
      <c r="O28" s="186"/>
      <c r="P28" s="186"/>
    </row>
    <row r="29" spans="1:29" ht="23.1" customHeight="1">
      <c r="A29" s="186"/>
      <c r="B29" s="186" t="s">
        <v>906</v>
      </c>
      <c r="C29" s="186"/>
      <c r="D29" s="186"/>
      <c r="E29" s="186"/>
      <c r="F29" s="186"/>
      <c r="G29" s="186"/>
      <c r="H29" s="186"/>
      <c r="I29" s="186"/>
      <c r="J29" s="186"/>
      <c r="K29" s="186"/>
      <c r="L29" s="186"/>
      <c r="M29" s="186"/>
      <c r="N29" s="186"/>
      <c r="O29" s="186"/>
      <c r="P29" s="186"/>
    </row>
    <row r="30" spans="1:29" ht="23.1" customHeight="1" thickBot="1">
      <c r="A30" s="186"/>
      <c r="B30" s="186" t="s">
        <v>1193</v>
      </c>
      <c r="C30" s="186"/>
      <c r="D30" s="186"/>
      <c r="E30" s="186"/>
      <c r="F30" s="186"/>
      <c r="G30" s="186"/>
      <c r="H30" s="186"/>
      <c r="I30" s="186"/>
      <c r="J30" s="186"/>
      <c r="K30" s="186"/>
      <c r="L30" s="186"/>
      <c r="M30" s="186"/>
      <c r="N30" s="186"/>
      <c r="O30" s="186"/>
      <c r="P30" s="186"/>
    </row>
    <row r="31" spans="1:29" ht="23.1" customHeight="1">
      <c r="A31" s="186"/>
      <c r="B31" s="2398" t="s">
        <v>257</v>
      </c>
      <c r="C31" s="2398"/>
      <c r="D31" s="190" t="s">
        <v>53</v>
      </c>
      <c r="E31" s="191" t="s">
        <v>54</v>
      </c>
      <c r="F31" s="191" t="s">
        <v>55</v>
      </c>
      <c r="G31" s="191" t="s">
        <v>56</v>
      </c>
      <c r="H31" s="191" t="s">
        <v>57</v>
      </c>
      <c r="I31" s="191" t="s">
        <v>58</v>
      </c>
      <c r="J31" s="191" t="s">
        <v>59</v>
      </c>
      <c r="K31" s="191" t="s">
        <v>60</v>
      </c>
      <c r="L31" s="191" t="s">
        <v>61</v>
      </c>
      <c r="M31" s="191" t="s">
        <v>62</v>
      </c>
      <c r="N31" s="191" t="s">
        <v>63</v>
      </c>
      <c r="O31" s="192" t="s">
        <v>64</v>
      </c>
      <c r="P31" s="193" t="s">
        <v>15</v>
      </c>
      <c r="R31" s="958" t="s">
        <v>53</v>
      </c>
      <c r="S31" s="958" t="s">
        <v>54</v>
      </c>
      <c r="T31" s="958" t="s">
        <v>55</v>
      </c>
      <c r="U31" s="958" t="s">
        <v>56</v>
      </c>
      <c r="V31" s="958" t="s">
        <v>57</v>
      </c>
      <c r="W31" s="958" t="s">
        <v>58</v>
      </c>
      <c r="X31" s="958" t="s">
        <v>59</v>
      </c>
      <c r="Y31" s="958" t="s">
        <v>60</v>
      </c>
      <c r="Z31" s="958" t="s">
        <v>61</v>
      </c>
      <c r="AA31" s="958" t="s">
        <v>62</v>
      </c>
      <c r="AB31" s="958" t="s">
        <v>63</v>
      </c>
      <c r="AC31" s="958" t="s">
        <v>64</v>
      </c>
    </row>
    <row r="32" spans="1:29" ht="23.1" customHeight="1">
      <c r="A32" s="186"/>
      <c r="B32" s="2393" t="s">
        <v>712</v>
      </c>
      <c r="C32" s="2393"/>
      <c r="D32" s="194">
        <f>IF($S$27&gt;R32,$R$26,$R$27)</f>
        <v>0</v>
      </c>
      <c r="E32" s="195">
        <f t="shared" ref="E32:O32" si="0">IF($S$27&gt;S32,$R$26,$R$27)</f>
        <v>0</v>
      </c>
      <c r="F32" s="195">
        <f t="shared" si="0"/>
        <v>0</v>
      </c>
      <c r="G32" s="195">
        <f t="shared" si="0"/>
        <v>0</v>
      </c>
      <c r="H32" s="195">
        <f t="shared" si="0"/>
        <v>0</v>
      </c>
      <c r="I32" s="195">
        <f t="shared" si="0"/>
        <v>0</v>
      </c>
      <c r="J32" s="195">
        <f t="shared" si="0"/>
        <v>0</v>
      </c>
      <c r="K32" s="195">
        <f t="shared" si="0"/>
        <v>0</v>
      </c>
      <c r="L32" s="195">
        <f t="shared" si="0"/>
        <v>0</v>
      </c>
      <c r="M32" s="195">
        <f t="shared" si="0"/>
        <v>0</v>
      </c>
      <c r="N32" s="195">
        <f t="shared" si="0"/>
        <v>0</v>
      </c>
      <c r="O32" s="196">
        <f t="shared" si="0"/>
        <v>0</v>
      </c>
      <c r="P32" s="197">
        <f>SUM(D32:O32)</f>
        <v>0</v>
      </c>
      <c r="R32" s="188">
        <v>1</v>
      </c>
      <c r="S32" s="188">
        <v>2</v>
      </c>
      <c r="T32" s="188">
        <v>3</v>
      </c>
      <c r="U32" s="188">
        <v>4</v>
      </c>
      <c r="V32" s="188">
        <v>5</v>
      </c>
      <c r="W32" s="188">
        <v>6</v>
      </c>
      <c r="X32" s="188">
        <v>7</v>
      </c>
      <c r="Y32" s="188">
        <v>8</v>
      </c>
      <c r="Z32" s="188">
        <v>9</v>
      </c>
      <c r="AA32" s="188">
        <v>10</v>
      </c>
      <c r="AB32" s="188">
        <v>11</v>
      </c>
      <c r="AC32" s="188">
        <v>12</v>
      </c>
    </row>
    <row r="33" spans="1:29" ht="23.1" customHeight="1">
      <c r="A33" s="186"/>
      <c r="B33" s="2394" t="s">
        <v>713</v>
      </c>
      <c r="C33" s="2394"/>
      <c r="D33" s="198"/>
      <c r="E33" s="199"/>
      <c r="F33" s="199"/>
      <c r="G33" s="199"/>
      <c r="H33" s="199"/>
      <c r="I33" s="199"/>
      <c r="J33" s="199"/>
      <c r="K33" s="199"/>
      <c r="L33" s="199"/>
      <c r="M33" s="199"/>
      <c r="N33" s="199"/>
      <c r="O33" s="200"/>
      <c r="P33" s="201">
        <f>SUM(D33:O33)</f>
        <v>0</v>
      </c>
      <c r="R33" s="188" t="e">
        <f>ROUNDDOWN(SUM(D33:F33)/SUM(D32:F32),2)</f>
        <v>#DIV/0!</v>
      </c>
      <c r="S33" s="188" t="e">
        <f t="shared" ref="S33:AA33" si="1">ROUNDDOWN(SUM(E33:G33)/SUM(E32:G32),2)</f>
        <v>#DIV/0!</v>
      </c>
      <c r="T33" s="188" t="e">
        <f t="shared" si="1"/>
        <v>#DIV/0!</v>
      </c>
      <c r="U33" s="188" t="e">
        <f t="shared" si="1"/>
        <v>#DIV/0!</v>
      </c>
      <c r="V33" s="188" t="e">
        <f t="shared" si="1"/>
        <v>#DIV/0!</v>
      </c>
      <c r="W33" s="188" t="e">
        <f t="shared" si="1"/>
        <v>#DIV/0!</v>
      </c>
      <c r="X33" s="188" t="e">
        <f t="shared" si="1"/>
        <v>#DIV/0!</v>
      </c>
      <c r="Y33" s="188" t="e">
        <f t="shared" si="1"/>
        <v>#DIV/0!</v>
      </c>
      <c r="Z33" s="188" t="e">
        <f t="shared" si="1"/>
        <v>#DIV/0!</v>
      </c>
      <c r="AA33" s="188" t="e">
        <f t="shared" si="1"/>
        <v>#DIV/0!</v>
      </c>
      <c r="AB33" s="188" t="e">
        <f>ROUNDDOWN(SUM(N33:O33)/SUM(N32:O32),2)</f>
        <v>#DIV/0!</v>
      </c>
      <c r="AC33" s="188" t="e">
        <f>ROUNDDOWN(SUM(O33:O33)/SUM(
O32:O32),2)</f>
        <v>#DIV/0!</v>
      </c>
    </row>
    <row r="34" spans="1:29" ht="23.1" customHeight="1" thickBot="1">
      <c r="A34" s="186"/>
      <c r="B34" s="2394" t="s">
        <v>714</v>
      </c>
      <c r="C34" s="2394"/>
      <c r="D34" s="202" t="str">
        <f>IF(D33="","未入力",IF(D33&gt;D32,"○","×"))</f>
        <v>未入力</v>
      </c>
      <c r="E34" s="203" t="str">
        <f t="shared" ref="E34:O34" si="2">IF(E33="","未入力",IF(E33&gt;E32,"○","×"))</f>
        <v>未入力</v>
      </c>
      <c r="F34" s="204" t="str">
        <f t="shared" si="2"/>
        <v>未入力</v>
      </c>
      <c r="G34" s="204" t="str">
        <f t="shared" si="2"/>
        <v>未入力</v>
      </c>
      <c r="H34" s="204" t="str">
        <f t="shared" si="2"/>
        <v>未入力</v>
      </c>
      <c r="I34" s="204" t="str">
        <f t="shared" si="2"/>
        <v>未入力</v>
      </c>
      <c r="J34" s="204" t="str">
        <f t="shared" si="2"/>
        <v>未入力</v>
      </c>
      <c r="K34" s="204" t="str">
        <f t="shared" si="2"/>
        <v>未入力</v>
      </c>
      <c r="L34" s="204" t="str">
        <f t="shared" si="2"/>
        <v>未入力</v>
      </c>
      <c r="M34" s="204" t="str">
        <f t="shared" si="2"/>
        <v>未入力</v>
      </c>
      <c r="N34" s="204" t="str">
        <f t="shared" si="2"/>
        <v>未入力</v>
      </c>
      <c r="O34" s="205" t="str">
        <f t="shared" si="2"/>
        <v>未入力</v>
      </c>
      <c r="P34" s="206" t="e">
        <f>SUM(R35:AC35)</f>
        <v>#DIV/0!</v>
      </c>
      <c r="R34" s="2399" t="s">
        <v>94</v>
      </c>
      <c r="S34" s="2399"/>
      <c r="T34" s="2399"/>
      <c r="U34" s="2399"/>
      <c r="V34" s="2399"/>
      <c r="W34" s="2399"/>
      <c r="X34" s="2399"/>
      <c r="Y34" s="2399"/>
      <c r="Z34" s="2399"/>
      <c r="AA34" s="2399"/>
      <c r="AB34" s="2399"/>
      <c r="AC34" s="2399"/>
    </row>
    <row r="35" spans="1:29" ht="23.1" customHeight="1">
      <c r="A35" s="186"/>
      <c r="B35" s="2402" t="s">
        <v>715</v>
      </c>
      <c r="C35" s="2403"/>
      <c r="D35" s="2406" t="e">
        <f>ROUNDDOWN(P33/P32,2)</f>
        <v>#DIV/0!</v>
      </c>
      <c r="E35" s="2407"/>
      <c r="F35" s="2410" t="e">
        <f>IF(D35&gt;=1.2,"➡不適切な申出です","")</f>
        <v>#DIV/0!</v>
      </c>
      <c r="G35" s="2410"/>
      <c r="H35" s="2410"/>
      <c r="I35" s="2410"/>
      <c r="J35" s="2412" t="str">
        <f>J26&amp;"月から"&amp;IF(J26=2,2,IF(J26=3,1,3))&amp;"か月間の平均在所率"</f>
        <v>月から3か月間の平均在所率</v>
      </c>
      <c r="K35" s="2413"/>
      <c r="L35" s="2406" t="e">
        <f>IFERROR(HLOOKUP($S$27,$R$32:$AC$33,2,FALSE),R33)</f>
        <v>#DIV/0!</v>
      </c>
      <c r="M35" s="2407"/>
      <c r="N35" s="2411" t="e">
        <f>IF(AND(T2&gt;=2022,L35&gt;=1.15),"➡不適切な申出です","")</f>
        <v>#DIV/0!</v>
      </c>
      <c r="O35" s="2411"/>
      <c r="P35" s="2411"/>
      <c r="R35" s="957" t="e">
        <f>IF($D$35&gt;1.2,IF(COUNTIF($D34:D34,"○")=R32,1,0),0)</f>
        <v>#DIV/0!</v>
      </c>
      <c r="S35" s="957" t="e">
        <f>IF($D$35&gt;1.2,IF(COUNTIF($D34:E34,"○")=S32,1,0),0)</f>
        <v>#DIV/0!</v>
      </c>
      <c r="T35" s="957" t="e">
        <f>IF($D$35&gt;1.2,IF(COUNTIF($D34:F34,"○")=T32,1,0),0)</f>
        <v>#DIV/0!</v>
      </c>
      <c r="U35" s="957" t="e">
        <f>IF($D$35&gt;1.2,IF(COUNTIF($D34:G34,"○")=U32,1,0),0)</f>
        <v>#DIV/0!</v>
      </c>
      <c r="V35" s="957" t="e">
        <f>IF($D$35&gt;1.2,IF(COUNTIF($D34:H34,"○")=V32,1,0),0)</f>
        <v>#DIV/0!</v>
      </c>
      <c r="W35" s="957" t="e">
        <f>IF($D$35&gt;1.2,IF(COUNTIF($D34:I34,"○")=W32,1,0),0)</f>
        <v>#DIV/0!</v>
      </c>
      <c r="X35" s="957" t="e">
        <f>IF($D$35&gt;1.2,IF(COUNTIF($D34:J34,"○")=X32,1,0),0)</f>
        <v>#DIV/0!</v>
      </c>
      <c r="Y35" s="957" t="e">
        <f>IF($D$35&gt;1.2,IF(COUNTIF($D34:K34,"○")=Y32,1,0),0)</f>
        <v>#DIV/0!</v>
      </c>
      <c r="Z35" s="957" t="e">
        <f>IF($D$35&gt;1.2,IF(COUNTIF($D34:L34,"○")=Z32,1,0),0)</f>
        <v>#DIV/0!</v>
      </c>
      <c r="AA35" s="957" t="e">
        <f>IF($D$35&gt;1.2,IF(COUNTIF($D34:M34,"○")=AA32,1,0),0)</f>
        <v>#DIV/0!</v>
      </c>
      <c r="AB35" s="957" t="e">
        <f>IF($D$35&gt;1.2,IF(COUNTIF($D34:N34,"○")=AB32,1,0),0)</f>
        <v>#DIV/0!</v>
      </c>
      <c r="AC35" s="957" t="e">
        <f>IF($D$35&gt;1.2,IF(COUNTIF($D34:O34,"○")=AC32,1,0),0)</f>
        <v>#DIV/0!</v>
      </c>
    </row>
    <row r="36" spans="1:29" ht="23.1" customHeight="1" thickBot="1">
      <c r="A36" s="186"/>
      <c r="B36" s="2404"/>
      <c r="C36" s="2405"/>
      <c r="D36" s="2408"/>
      <c r="E36" s="2409"/>
      <c r="F36" s="2411"/>
      <c r="G36" s="2411"/>
      <c r="H36" s="2411"/>
      <c r="I36" s="2411"/>
      <c r="J36" s="2414"/>
      <c r="K36" s="2415"/>
      <c r="L36" s="2408"/>
      <c r="M36" s="2409"/>
      <c r="N36" s="2411"/>
      <c r="O36" s="2411"/>
      <c r="P36" s="2411"/>
    </row>
    <row r="37" spans="1:29" ht="23.1" customHeight="1">
      <c r="A37" s="186"/>
      <c r="B37" s="207"/>
      <c r="C37" s="207"/>
      <c r="D37" s="207"/>
      <c r="E37" s="207"/>
      <c r="F37" s="186"/>
      <c r="G37" s="186"/>
      <c r="H37" s="186"/>
      <c r="I37" s="186"/>
      <c r="J37" s="186"/>
      <c r="K37" s="186"/>
      <c r="L37" s="186"/>
      <c r="M37" s="186"/>
      <c r="N37" s="186"/>
      <c r="O37" s="186"/>
      <c r="P37" s="186"/>
    </row>
    <row r="38" spans="1:29" ht="23.1" customHeight="1">
      <c r="A38" s="186"/>
      <c r="B38" s="186"/>
      <c r="C38" s="186"/>
      <c r="D38" s="186"/>
      <c r="E38" s="186"/>
      <c r="F38" s="186"/>
      <c r="G38" s="186"/>
      <c r="H38" s="186"/>
      <c r="I38" s="186"/>
      <c r="J38" s="186"/>
      <c r="K38" s="186"/>
      <c r="L38" s="186"/>
      <c r="M38" s="186"/>
      <c r="N38" s="186"/>
      <c r="O38" s="186"/>
      <c r="P38" s="186"/>
    </row>
    <row r="39" spans="1:29" ht="23.1" customHeight="1">
      <c r="A39" s="186"/>
      <c r="B39" s="2401" t="s">
        <v>1191</v>
      </c>
      <c r="C39" s="2401"/>
      <c r="D39" s="2401" t="str">
        <f>IFERROR(IF(OR(D35&gt;=1.2,AND(T2&gt;=2022,L35&gt;=1.15),COUNTIF(D34:O34,"未入力")&gt;=1),"×","○"),"×")</f>
        <v>×</v>
      </c>
      <c r="E39" s="2401"/>
      <c r="F39" s="186"/>
      <c r="G39" s="186"/>
      <c r="H39" s="186"/>
      <c r="I39" s="186"/>
      <c r="J39" s="186"/>
      <c r="K39" s="186"/>
      <c r="L39" s="186"/>
      <c r="M39" s="186"/>
      <c r="N39" s="186"/>
      <c r="O39" s="186"/>
      <c r="P39" s="186"/>
    </row>
    <row r="40" spans="1:29" ht="23.1" customHeight="1">
      <c r="A40" s="186"/>
      <c r="B40" s="186"/>
      <c r="C40" s="186"/>
      <c r="D40" s="186"/>
      <c r="E40" s="186"/>
      <c r="F40" s="186"/>
      <c r="G40" s="186"/>
      <c r="H40" s="186"/>
      <c r="I40" s="186"/>
      <c r="J40" s="186"/>
      <c r="K40" s="186"/>
      <c r="L40" s="186"/>
      <c r="M40" s="186"/>
      <c r="N40" s="186"/>
      <c r="O40" s="186"/>
      <c r="P40" s="186"/>
    </row>
    <row r="41" spans="1:29" ht="23.1" customHeight="1">
      <c r="A41" s="186"/>
      <c r="B41" s="186"/>
      <c r="C41" s="186"/>
      <c r="D41" s="186"/>
      <c r="E41" s="186"/>
      <c r="F41" s="186"/>
      <c r="G41" s="186"/>
      <c r="H41" s="186"/>
      <c r="I41" s="186"/>
      <c r="J41" s="186"/>
      <c r="K41" s="186"/>
      <c r="L41" s="186"/>
      <c r="M41" s="186"/>
      <c r="N41" s="186"/>
      <c r="O41" s="186"/>
      <c r="P41" s="186"/>
    </row>
    <row r="42" spans="1:29" ht="23.1" customHeight="1">
      <c r="A42" s="186"/>
      <c r="B42" s="186"/>
      <c r="C42" s="186"/>
      <c r="D42" s="186"/>
      <c r="E42" s="186"/>
      <c r="F42" s="186"/>
      <c r="G42" s="186"/>
      <c r="H42" s="186"/>
      <c r="I42" s="186"/>
      <c r="J42" s="186"/>
      <c r="K42" s="186"/>
      <c r="L42" s="186"/>
      <c r="M42" s="186"/>
      <c r="N42" s="186"/>
      <c r="O42" s="186"/>
      <c r="P42" s="186"/>
    </row>
    <row r="43" spans="1:29" ht="23.1" customHeight="1">
      <c r="A43" s="2388" t="s">
        <v>1201</v>
      </c>
      <c r="B43" s="2388"/>
      <c r="C43" s="2388"/>
      <c r="D43" s="2388"/>
      <c r="E43" s="2388"/>
      <c r="F43" s="2388"/>
      <c r="G43" s="2388"/>
      <c r="H43" s="2388"/>
      <c r="I43" s="2388"/>
      <c r="J43" s="2388"/>
      <c r="K43" s="2388"/>
      <c r="L43" s="2383" t="str">
        <f>R2&amp;"別紙6-2"&amp;R3</f>
        <v>加-25_4月申-別紙6-2-認_Ver.4.02</v>
      </c>
      <c r="M43" s="2383"/>
      <c r="N43" s="2383"/>
      <c r="O43" s="2383"/>
      <c r="P43" s="2383"/>
    </row>
    <row r="44" spans="1:29" ht="23.1" customHeight="1">
      <c r="A44" s="186"/>
      <c r="B44" s="186"/>
      <c r="C44" s="186"/>
      <c r="D44" s="186"/>
      <c r="E44" s="186"/>
      <c r="F44" s="186"/>
      <c r="G44" s="186"/>
      <c r="H44" s="186"/>
      <c r="I44" s="186"/>
      <c r="J44" s="186"/>
      <c r="K44" s="186"/>
      <c r="L44" s="2400">
        <f>DATE(【様式１】総括表・個票!AK2+1,3,1)</f>
        <v>46082</v>
      </c>
      <c r="M44" s="2400"/>
      <c r="N44" s="2400"/>
      <c r="O44" s="2400"/>
      <c r="P44" s="2400"/>
    </row>
    <row r="45" spans="1:29" ht="23.1" customHeight="1">
      <c r="A45" s="186"/>
      <c r="B45" s="186"/>
      <c r="C45" s="186"/>
      <c r="D45" s="186"/>
      <c r="E45" s="186"/>
      <c r="F45" s="186"/>
      <c r="G45" s="186"/>
      <c r="H45" s="186"/>
      <c r="I45" s="186"/>
      <c r="J45" s="186"/>
      <c r="K45" s="186"/>
      <c r="L45" s="960"/>
      <c r="M45" s="960"/>
      <c r="N45" s="960"/>
      <c r="O45" s="960"/>
      <c r="P45" s="960"/>
    </row>
    <row r="46" spans="1:29" ht="23.1" customHeight="1">
      <c r="A46" s="186"/>
      <c r="B46" s="186" t="s">
        <v>1206</v>
      </c>
      <c r="C46" s="186"/>
      <c r="D46" s="186"/>
      <c r="E46" s="186"/>
      <c r="F46" s="186"/>
      <c r="G46" s="186"/>
      <c r="H46" s="186"/>
      <c r="I46" s="186"/>
      <c r="J46" s="186"/>
      <c r="K46" s="186"/>
      <c r="L46" s="186"/>
      <c r="M46" s="186"/>
      <c r="N46" s="186"/>
      <c r="O46" s="186"/>
      <c r="P46" s="186"/>
    </row>
    <row r="47" spans="1:29" ht="23.1" customHeight="1">
      <c r="A47" s="186"/>
      <c r="B47" s="186"/>
      <c r="C47" s="186"/>
      <c r="D47" s="186"/>
      <c r="E47" s="186"/>
      <c r="F47" s="186"/>
      <c r="G47" s="186"/>
      <c r="H47" s="186"/>
      <c r="I47" s="186"/>
      <c r="J47" s="186"/>
      <c r="K47" s="186"/>
      <c r="L47" s="186"/>
      <c r="M47" s="186"/>
      <c r="N47" s="186"/>
      <c r="O47" s="186"/>
      <c r="P47" s="186"/>
    </row>
    <row r="48" spans="1:29" ht="23.1" customHeight="1">
      <c r="A48" s="186"/>
      <c r="B48" s="186"/>
      <c r="C48" s="186"/>
      <c r="D48" s="186"/>
      <c r="E48" s="186"/>
      <c r="F48" s="186"/>
      <c r="G48" s="186"/>
      <c r="H48" s="186"/>
      <c r="I48" s="2385" t="s">
        <v>703</v>
      </c>
      <c r="J48" s="186" t="s">
        <v>704</v>
      </c>
      <c r="K48" s="2386" t="str">
        <f>CONCATENATE(K6)</f>
        <v/>
      </c>
      <c r="L48" s="2386"/>
      <c r="M48" s="2386"/>
      <c r="N48" s="2386"/>
      <c r="O48" s="2386"/>
      <c r="P48" s="186"/>
    </row>
    <row r="49" spans="1:16" ht="23.1" customHeight="1">
      <c r="A49" s="186"/>
      <c r="B49" s="186"/>
      <c r="C49" s="186"/>
      <c r="D49" s="186"/>
      <c r="E49" s="186"/>
      <c r="F49" s="186"/>
      <c r="G49" s="186"/>
      <c r="H49" s="186"/>
      <c r="I49" s="2385"/>
      <c r="J49" s="186" t="s">
        <v>705</v>
      </c>
      <c r="K49" s="2387" t="str">
        <f>CONCATENATE(K7)</f>
        <v/>
      </c>
      <c r="L49" s="2387"/>
      <c r="M49" s="2387"/>
      <c r="N49" s="2387"/>
      <c r="O49" s="2387"/>
      <c r="P49" s="186"/>
    </row>
    <row r="50" spans="1:16" ht="23.1" customHeight="1">
      <c r="A50" s="186"/>
      <c r="B50" s="186"/>
      <c r="C50" s="186"/>
      <c r="D50" s="186"/>
      <c r="E50" s="186"/>
      <c r="F50" s="186"/>
      <c r="G50" s="186"/>
      <c r="H50" s="186"/>
      <c r="I50" s="186"/>
      <c r="J50" s="186"/>
      <c r="K50" s="186"/>
      <c r="L50" s="186"/>
      <c r="M50" s="186"/>
      <c r="N50" s="186"/>
      <c r="O50" s="959"/>
      <c r="P50" s="186"/>
    </row>
    <row r="51" spans="1:16" ht="23.1" customHeight="1">
      <c r="A51" s="186"/>
      <c r="B51" s="186"/>
      <c r="C51" s="186"/>
      <c r="D51" s="186"/>
      <c r="E51" s="186"/>
      <c r="F51" s="186"/>
      <c r="G51" s="186"/>
      <c r="H51" s="186"/>
      <c r="I51" s="186"/>
      <c r="J51" s="186"/>
      <c r="K51" s="186"/>
      <c r="L51" s="186"/>
      <c r="M51" s="186"/>
      <c r="N51" s="186"/>
      <c r="O51" s="186"/>
      <c r="P51" s="186"/>
    </row>
    <row r="52" spans="1:16" ht="23.1" customHeight="1">
      <c r="A52" s="186"/>
      <c r="B52" s="186"/>
      <c r="C52" s="186"/>
      <c r="D52" s="2421" t="s">
        <v>907</v>
      </c>
      <c r="E52" s="2421"/>
      <c r="F52" s="2421"/>
      <c r="G52" s="2421"/>
      <c r="H52" s="2421"/>
      <c r="I52" s="2421"/>
      <c r="J52" s="2421"/>
      <c r="K52" s="2421"/>
      <c r="L52" s="2421"/>
      <c r="M52" s="2421"/>
      <c r="N52" s="186"/>
      <c r="O52" s="186"/>
      <c r="P52" s="186"/>
    </row>
    <row r="53" spans="1:16" ht="23.1" customHeight="1">
      <c r="A53" s="186"/>
      <c r="B53" s="186"/>
      <c r="C53" s="186"/>
      <c r="D53" s="186"/>
      <c r="E53" s="186"/>
      <c r="F53" s="186"/>
      <c r="G53" s="186"/>
      <c r="H53" s="186"/>
      <c r="I53" s="186"/>
      <c r="J53" s="186"/>
      <c r="K53" s="186"/>
      <c r="L53" s="186"/>
      <c r="M53" s="186"/>
      <c r="N53" s="186"/>
      <c r="O53" s="186"/>
      <c r="P53" s="186"/>
    </row>
    <row r="54" spans="1:16" ht="23.1" customHeight="1">
      <c r="A54" s="2389" t="str">
        <f>"　教育の提供について、２年度間常に１号認定こどもの利用定員を超えており、かつ、年間平均在所率が120%以上の状態にありましたが、"&amp;【様式１】総括表・個票!$AK$2&amp;"年度の実績について下記のとおりとなっておりますので報告いたします。"</f>
        <v>　教育の提供について、２年度間常に１号認定こどもの利用定員を超えており、かつ、年間平均在所率が120%以上の状態にありましたが、2025年度の実績について下記のとおりとなっておりますので報告いたします。</v>
      </c>
      <c r="B54" s="2389"/>
      <c r="C54" s="2389"/>
      <c r="D54" s="2389"/>
      <c r="E54" s="2389"/>
      <c r="F54" s="2389"/>
      <c r="G54" s="2389"/>
      <c r="H54" s="2389"/>
      <c r="I54" s="2389"/>
      <c r="J54" s="2389"/>
      <c r="K54" s="2389"/>
      <c r="L54" s="2389"/>
      <c r="M54" s="2389"/>
      <c r="N54" s="2389"/>
      <c r="O54" s="2389"/>
      <c r="P54" s="2389"/>
    </row>
    <row r="55" spans="1:16" ht="23.1" customHeight="1">
      <c r="A55" s="2389"/>
      <c r="B55" s="2389"/>
      <c r="C55" s="2389"/>
      <c r="D55" s="2389"/>
      <c r="E55" s="2389"/>
      <c r="F55" s="2389"/>
      <c r="G55" s="2389"/>
      <c r="H55" s="2389"/>
      <c r="I55" s="2389"/>
      <c r="J55" s="2389"/>
      <c r="K55" s="2389"/>
      <c r="L55" s="2389"/>
      <c r="M55" s="2389"/>
      <c r="N55" s="2389"/>
      <c r="O55" s="2389"/>
      <c r="P55" s="2389"/>
    </row>
    <row r="56" spans="1:16" ht="23.1" customHeight="1">
      <c r="A56" s="2389"/>
      <c r="B56" s="2389"/>
      <c r="C56" s="2389"/>
      <c r="D56" s="2389"/>
      <c r="E56" s="2389"/>
      <c r="F56" s="2389"/>
      <c r="G56" s="2389"/>
      <c r="H56" s="2389"/>
      <c r="I56" s="2389"/>
      <c r="J56" s="2389"/>
      <c r="K56" s="2389"/>
      <c r="L56" s="2389"/>
      <c r="M56" s="2389"/>
      <c r="N56" s="2389"/>
      <c r="O56" s="2389"/>
      <c r="P56" s="2389"/>
    </row>
    <row r="57" spans="1:16" ht="23.1" customHeight="1">
      <c r="A57" s="2389"/>
      <c r="B57" s="2389"/>
      <c r="C57" s="2389"/>
      <c r="D57" s="2389"/>
      <c r="E57" s="2389"/>
      <c r="F57" s="2389"/>
      <c r="G57" s="2389"/>
      <c r="H57" s="2389"/>
      <c r="I57" s="2389"/>
      <c r="J57" s="2389"/>
      <c r="K57" s="2389"/>
      <c r="L57" s="2389"/>
      <c r="M57" s="2389"/>
      <c r="N57" s="2389"/>
      <c r="O57" s="2389"/>
      <c r="P57" s="2389"/>
    </row>
    <row r="58" spans="1:16" ht="23.1" customHeight="1">
      <c r="A58" s="186"/>
      <c r="B58" s="186"/>
      <c r="C58" s="186"/>
      <c r="D58" s="186"/>
      <c r="E58" s="186"/>
      <c r="F58" s="186"/>
      <c r="G58" s="186"/>
      <c r="H58" s="186"/>
      <c r="I58" s="186"/>
      <c r="J58" s="186"/>
      <c r="K58" s="186"/>
      <c r="L58" s="186"/>
      <c r="M58" s="186"/>
      <c r="N58" s="186"/>
      <c r="O58" s="186"/>
      <c r="P58" s="186"/>
    </row>
    <row r="59" spans="1:16" ht="23.1" customHeight="1">
      <c r="A59" s="2391" t="s">
        <v>708</v>
      </c>
      <c r="B59" s="2391"/>
      <c r="C59" s="2391"/>
      <c r="D59" s="2391"/>
      <c r="E59" s="2391"/>
      <c r="F59" s="186"/>
      <c r="G59" s="186"/>
      <c r="H59" s="186"/>
      <c r="I59" s="186"/>
      <c r="J59" s="186"/>
      <c r="K59" s="186"/>
      <c r="L59" s="186"/>
      <c r="M59" s="186"/>
      <c r="N59" s="186"/>
      <c r="O59" s="186"/>
      <c r="P59" s="186"/>
    </row>
    <row r="60" spans="1:16" ht="23.1" customHeight="1">
      <c r="A60" s="186"/>
      <c r="B60" s="2392">
        <f>B19</f>
        <v>0</v>
      </c>
      <c r="C60" s="2392"/>
      <c r="D60" s="2392"/>
      <c r="E60" s="2392"/>
      <c r="F60" s="2392"/>
      <c r="G60" s="2392"/>
      <c r="H60" s="186"/>
      <c r="I60" s="186"/>
      <c r="J60" s="186"/>
      <c r="K60" s="186"/>
      <c r="L60" s="186"/>
      <c r="M60" s="186"/>
      <c r="N60" s="186"/>
      <c r="O60" s="186"/>
      <c r="P60" s="186"/>
    </row>
    <row r="61" spans="1:16" ht="23.1" customHeight="1">
      <c r="A61" s="186"/>
      <c r="B61" s="186"/>
      <c r="C61" s="186"/>
      <c r="D61" s="186"/>
      <c r="E61" s="186"/>
      <c r="F61" s="186"/>
      <c r="G61" s="186"/>
      <c r="H61" s="186"/>
      <c r="I61" s="186"/>
      <c r="J61" s="186"/>
      <c r="K61" s="186"/>
      <c r="L61" s="186"/>
      <c r="M61" s="186"/>
      <c r="N61" s="186"/>
      <c r="O61" s="186"/>
      <c r="P61" s="186"/>
    </row>
    <row r="62" spans="1:16" ht="23.1" customHeight="1">
      <c r="A62" s="2391" t="s">
        <v>1192</v>
      </c>
      <c r="B62" s="2391"/>
      <c r="C62" s="2391"/>
      <c r="D62" s="2391"/>
      <c r="E62" s="2391"/>
      <c r="F62" s="186"/>
      <c r="G62" s="186"/>
      <c r="H62" s="186"/>
      <c r="I62" s="186"/>
      <c r="J62" s="186"/>
      <c r="K62" s="186"/>
      <c r="L62" s="186"/>
      <c r="M62" s="186"/>
      <c r="N62" s="186"/>
      <c r="O62" s="186"/>
      <c r="P62" s="186"/>
    </row>
    <row r="63" spans="1:16" ht="23.1" customHeight="1">
      <c r="A63" s="186"/>
      <c r="B63" s="2381" t="str">
        <f>CONCATENATE(B22)</f>
        <v/>
      </c>
      <c r="C63" s="2381"/>
      <c r="D63" s="2381"/>
      <c r="E63" s="2381"/>
      <c r="F63" s="2381"/>
      <c r="G63" s="2381"/>
      <c r="H63" s="186"/>
      <c r="I63" s="186"/>
      <c r="J63" s="186"/>
      <c r="K63" s="186"/>
      <c r="L63" s="186"/>
      <c r="M63" s="186"/>
      <c r="N63" s="186"/>
      <c r="O63" s="186"/>
      <c r="P63" s="186"/>
    </row>
    <row r="64" spans="1:16" ht="23.1" customHeight="1">
      <c r="A64" s="186"/>
      <c r="B64" s="186"/>
      <c r="C64" s="186"/>
      <c r="D64" s="186"/>
      <c r="E64" s="186"/>
      <c r="F64" s="186"/>
      <c r="G64" s="186"/>
      <c r="H64" s="186"/>
      <c r="I64" s="186"/>
      <c r="J64" s="186"/>
      <c r="K64" s="186"/>
      <c r="L64" s="186"/>
      <c r="M64" s="186"/>
      <c r="N64" s="186"/>
      <c r="O64" s="186"/>
      <c r="P64" s="186"/>
    </row>
    <row r="65" spans="1:29" ht="23.1" customHeight="1">
      <c r="A65" s="186"/>
      <c r="B65" s="186" t="s">
        <v>709</v>
      </c>
      <c r="C65" s="186"/>
      <c r="D65" s="186"/>
      <c r="E65" s="186"/>
      <c r="F65" s="186"/>
      <c r="G65" s="186"/>
      <c r="H65" s="186"/>
      <c r="I65" s="186"/>
      <c r="J65" s="186"/>
      <c r="K65" s="186"/>
      <c r="L65" s="186"/>
      <c r="M65" s="186"/>
      <c r="N65" s="186"/>
      <c r="O65" s="186"/>
      <c r="P65" s="186"/>
      <c r="R65" s="957" t="str">
        <f>IF(B63&lt;&gt;"","○","")</f>
        <v/>
      </c>
    </row>
    <row r="66" spans="1:29" ht="23.1" customHeight="1">
      <c r="A66" s="186"/>
      <c r="B66" s="2385" t="str">
        <f>IF($R$65="○","見直し前","定員")</f>
        <v>定員</v>
      </c>
      <c r="C66" s="2385"/>
      <c r="D66" s="2396">
        <f>D25</f>
        <v>0</v>
      </c>
      <c r="E66" s="2396"/>
      <c r="F66" s="186" t="s">
        <v>344</v>
      </c>
      <c r="G66" s="186"/>
      <c r="H66" s="186"/>
      <c r="I66" s="186"/>
      <c r="J66" s="186"/>
      <c r="K66" s="186"/>
      <c r="L66" s="186"/>
      <c r="M66" s="186"/>
      <c r="N66" s="186"/>
      <c r="O66" s="186"/>
      <c r="P66" s="186"/>
    </row>
    <row r="67" spans="1:29" ht="23.1" customHeight="1">
      <c r="A67" s="186"/>
      <c r="B67" s="2385" t="str">
        <f>IF($R$65="○","見直し後","")</f>
        <v/>
      </c>
      <c r="C67" s="2385"/>
      <c r="D67" s="2396">
        <f>D26</f>
        <v>0</v>
      </c>
      <c r="E67" s="2396"/>
      <c r="F67" s="186" t="str">
        <f>IF($R$65="○","人","")</f>
        <v/>
      </c>
      <c r="G67" s="2385" t="str">
        <f>IF($R$65="○","（見直した月","")</f>
        <v/>
      </c>
      <c r="H67" s="2385"/>
      <c r="I67" s="2385"/>
      <c r="J67" s="2396">
        <f>J26</f>
        <v>0</v>
      </c>
      <c r="K67" s="2396"/>
      <c r="L67" s="186" t="str">
        <f>IF($R$65="○","月）","")</f>
        <v/>
      </c>
      <c r="M67" s="186"/>
      <c r="N67" s="186"/>
      <c r="O67" s="186"/>
      <c r="P67" s="186"/>
    </row>
    <row r="68" spans="1:29" ht="23.1" customHeight="1">
      <c r="A68" s="186"/>
      <c r="B68" s="186"/>
      <c r="C68" s="186"/>
      <c r="D68" s="186"/>
      <c r="E68" s="186"/>
      <c r="F68" s="186"/>
      <c r="G68" s="186"/>
      <c r="H68" s="186"/>
      <c r="I68" s="186"/>
      <c r="J68" s="186"/>
      <c r="K68" s="186"/>
      <c r="L68" s="186"/>
      <c r="M68" s="186"/>
      <c r="N68" s="186"/>
      <c r="O68" s="186"/>
      <c r="P68" s="186"/>
      <c r="R68" s="188">
        <f>D66</f>
        <v>0</v>
      </c>
    </row>
    <row r="69" spans="1:29" ht="23.1" customHeight="1">
      <c r="A69" s="186"/>
      <c r="B69" s="186" t="s">
        <v>717</v>
      </c>
      <c r="C69" s="186"/>
      <c r="D69" s="186"/>
      <c r="E69" s="186"/>
      <c r="F69" s="186"/>
      <c r="G69" s="186"/>
      <c r="H69" s="186"/>
      <c r="I69" s="186"/>
      <c r="J69" s="186"/>
      <c r="K69" s="186"/>
      <c r="L69" s="186"/>
      <c r="M69" s="186"/>
      <c r="N69" s="186"/>
      <c r="O69" s="186"/>
      <c r="P69" s="186"/>
      <c r="R69" s="188">
        <f>IF(D67="",R68,D67)</f>
        <v>0</v>
      </c>
      <c r="S69" s="189">
        <f>IF(OR(J67="",J67=0),12,IF(J67&gt;=4,J67-3,J67+9))</f>
        <v>12</v>
      </c>
    </row>
    <row r="70" spans="1:29" ht="23.1" customHeight="1">
      <c r="A70" s="186"/>
      <c r="B70" s="186" t="s">
        <v>718</v>
      </c>
      <c r="C70" s="186"/>
      <c r="D70" s="186"/>
      <c r="E70" s="186"/>
      <c r="F70" s="186"/>
      <c r="G70" s="186"/>
      <c r="H70" s="186"/>
      <c r="I70" s="186"/>
      <c r="J70" s="186"/>
      <c r="K70" s="186"/>
      <c r="L70" s="186"/>
      <c r="M70" s="186"/>
      <c r="N70" s="186"/>
      <c r="O70" s="186"/>
      <c r="P70" s="186"/>
    </row>
    <row r="71" spans="1:29" ht="23.1" customHeight="1" thickBot="1">
      <c r="A71" s="186"/>
      <c r="B71" s="186" t="e">
        <f>IF(AND($D$76&gt;1.2,$P$75&lt;&gt;0),"　また、年間平均在所率が120%以上となっていたため減算適用いたします。","　なお、年間平均在所率は120%以上ではありませんでした。")</f>
        <v>#DIV/0!</v>
      </c>
      <c r="C71" s="186"/>
      <c r="D71" s="186"/>
      <c r="E71" s="186"/>
      <c r="F71" s="186"/>
      <c r="G71" s="186"/>
      <c r="H71" s="186"/>
      <c r="I71" s="186"/>
      <c r="J71" s="186"/>
      <c r="K71" s="186"/>
      <c r="L71" s="186"/>
      <c r="M71" s="186"/>
      <c r="N71" s="186"/>
      <c r="O71" s="186"/>
      <c r="P71" s="186"/>
    </row>
    <row r="72" spans="1:29" ht="23.1" customHeight="1">
      <c r="A72" s="186"/>
      <c r="B72" s="2398" t="s">
        <v>257</v>
      </c>
      <c r="C72" s="2398"/>
      <c r="D72" s="190" t="s">
        <v>53</v>
      </c>
      <c r="E72" s="191" t="s">
        <v>54</v>
      </c>
      <c r="F72" s="191" t="s">
        <v>55</v>
      </c>
      <c r="G72" s="191" t="s">
        <v>56</v>
      </c>
      <c r="H72" s="191" t="s">
        <v>57</v>
      </c>
      <c r="I72" s="191" t="s">
        <v>58</v>
      </c>
      <c r="J72" s="191" t="s">
        <v>59</v>
      </c>
      <c r="K72" s="191" t="s">
        <v>60</v>
      </c>
      <c r="L72" s="191" t="s">
        <v>61</v>
      </c>
      <c r="M72" s="191" t="s">
        <v>62</v>
      </c>
      <c r="N72" s="191" t="s">
        <v>63</v>
      </c>
      <c r="O72" s="192" t="s">
        <v>64</v>
      </c>
      <c r="P72" s="193" t="s">
        <v>15</v>
      </c>
    </row>
    <row r="73" spans="1:29" ht="23.1" customHeight="1">
      <c r="A73" s="186"/>
      <c r="B73" s="2393" t="s">
        <v>712</v>
      </c>
      <c r="C73" s="2393"/>
      <c r="D73" s="194">
        <f>IF($S$69&gt;R74,$R$68,$R$69)</f>
        <v>0</v>
      </c>
      <c r="E73" s="195">
        <f t="shared" ref="E73:O73" si="3">IF($S$69&gt;S74,$R$68,$R$69)</f>
        <v>0</v>
      </c>
      <c r="F73" s="195">
        <f t="shared" si="3"/>
        <v>0</v>
      </c>
      <c r="G73" s="195">
        <f t="shared" si="3"/>
        <v>0</v>
      </c>
      <c r="H73" s="195">
        <f t="shared" si="3"/>
        <v>0</v>
      </c>
      <c r="I73" s="195">
        <f t="shared" si="3"/>
        <v>0</v>
      </c>
      <c r="J73" s="195">
        <f t="shared" si="3"/>
        <v>0</v>
      </c>
      <c r="K73" s="195">
        <f t="shared" si="3"/>
        <v>0</v>
      </c>
      <c r="L73" s="195">
        <f t="shared" si="3"/>
        <v>0</v>
      </c>
      <c r="M73" s="195">
        <f t="shared" si="3"/>
        <v>0</v>
      </c>
      <c r="N73" s="195">
        <f t="shared" si="3"/>
        <v>0</v>
      </c>
      <c r="O73" s="196">
        <f t="shared" si="3"/>
        <v>0</v>
      </c>
      <c r="P73" s="197">
        <f>SUM(D73:O73)</f>
        <v>0</v>
      </c>
      <c r="R73" s="958" t="s">
        <v>53</v>
      </c>
      <c r="S73" s="958" t="s">
        <v>54</v>
      </c>
      <c r="T73" s="958" t="s">
        <v>55</v>
      </c>
      <c r="U73" s="958" t="s">
        <v>56</v>
      </c>
      <c r="V73" s="958" t="s">
        <v>57</v>
      </c>
      <c r="W73" s="958" t="s">
        <v>58</v>
      </c>
      <c r="X73" s="958" t="s">
        <v>59</v>
      </c>
      <c r="Y73" s="958" t="s">
        <v>60</v>
      </c>
      <c r="Z73" s="958" t="s">
        <v>61</v>
      </c>
      <c r="AA73" s="958" t="s">
        <v>62</v>
      </c>
      <c r="AB73" s="958" t="s">
        <v>63</v>
      </c>
      <c r="AC73" s="958" t="s">
        <v>64</v>
      </c>
    </row>
    <row r="74" spans="1:29" ht="23.1" customHeight="1">
      <c r="A74" s="186"/>
      <c r="B74" s="2394" t="s">
        <v>713</v>
      </c>
      <c r="C74" s="2394"/>
      <c r="D74" s="198"/>
      <c r="E74" s="199"/>
      <c r="F74" s="199"/>
      <c r="G74" s="199"/>
      <c r="H74" s="199"/>
      <c r="I74" s="199"/>
      <c r="J74" s="199"/>
      <c r="K74" s="199"/>
      <c r="L74" s="199"/>
      <c r="M74" s="199"/>
      <c r="N74" s="199"/>
      <c r="O74" s="200"/>
      <c r="P74" s="201">
        <f>SUM(D74:O74)</f>
        <v>0</v>
      </c>
      <c r="R74" s="188">
        <v>1</v>
      </c>
      <c r="S74" s="188">
        <v>2</v>
      </c>
      <c r="T74" s="188">
        <v>3</v>
      </c>
      <c r="U74" s="188">
        <v>4</v>
      </c>
      <c r="V74" s="188">
        <v>5</v>
      </c>
      <c r="W74" s="188">
        <v>6</v>
      </c>
      <c r="X74" s="188">
        <v>7</v>
      </c>
      <c r="Y74" s="188">
        <v>8</v>
      </c>
      <c r="Z74" s="188">
        <v>9</v>
      </c>
      <c r="AA74" s="188">
        <v>10</v>
      </c>
      <c r="AB74" s="188">
        <v>11</v>
      </c>
      <c r="AC74" s="188">
        <v>12</v>
      </c>
    </row>
    <row r="75" spans="1:29" ht="23.1" customHeight="1" thickBot="1">
      <c r="A75" s="186"/>
      <c r="B75" s="2394" t="s">
        <v>714</v>
      </c>
      <c r="C75" s="2394"/>
      <c r="D75" s="202" t="str">
        <f>IF(D74="","未入力",IF(D74&gt;D73,"○","×"))</f>
        <v>未入力</v>
      </c>
      <c r="E75" s="203" t="str">
        <f t="shared" ref="E75:O75" si="4">IF(E74="","未入力",IF(E74&gt;E73,"○","×"))</f>
        <v>未入力</v>
      </c>
      <c r="F75" s="204" t="str">
        <f t="shared" si="4"/>
        <v>未入力</v>
      </c>
      <c r="G75" s="204" t="str">
        <f t="shared" si="4"/>
        <v>未入力</v>
      </c>
      <c r="H75" s="204" t="str">
        <f t="shared" si="4"/>
        <v>未入力</v>
      </c>
      <c r="I75" s="204" t="str">
        <f t="shared" si="4"/>
        <v>未入力</v>
      </c>
      <c r="J75" s="204" t="str">
        <f t="shared" si="4"/>
        <v>未入力</v>
      </c>
      <c r="K75" s="204" t="str">
        <f t="shared" si="4"/>
        <v>未入力</v>
      </c>
      <c r="L75" s="204" t="str">
        <f t="shared" si="4"/>
        <v>未入力</v>
      </c>
      <c r="M75" s="204" t="str">
        <f t="shared" si="4"/>
        <v>未入力</v>
      </c>
      <c r="N75" s="204" t="str">
        <f t="shared" si="4"/>
        <v>未入力</v>
      </c>
      <c r="O75" s="205" t="str">
        <f t="shared" si="4"/>
        <v>未入力</v>
      </c>
      <c r="P75" s="206" t="e">
        <f>SUM(R77:AC77)</f>
        <v>#DIV/0!</v>
      </c>
    </row>
    <row r="76" spans="1:29" ht="23.1" customHeight="1" thickBot="1">
      <c r="A76" s="186"/>
      <c r="B76" s="2417" t="s">
        <v>715</v>
      </c>
      <c r="C76" s="2418"/>
      <c r="D76" s="2419" t="e">
        <f>ROUNDDOWN(P74/P73,2)</f>
        <v>#DIV/0!</v>
      </c>
      <c r="E76" s="2420"/>
      <c r="F76" s="186"/>
      <c r="G76" s="186"/>
      <c r="H76" s="186"/>
      <c r="I76" s="186"/>
      <c r="J76" s="186"/>
      <c r="K76" s="186"/>
      <c r="L76" s="186"/>
      <c r="M76" s="186"/>
      <c r="N76" s="186"/>
      <c r="O76" s="186"/>
      <c r="P76" s="186"/>
      <c r="R76" s="2399" t="s">
        <v>94</v>
      </c>
      <c r="S76" s="2399"/>
      <c r="T76" s="2399"/>
      <c r="U76" s="2399"/>
      <c r="V76" s="2399"/>
      <c r="W76" s="2399"/>
      <c r="X76" s="2399"/>
      <c r="Y76" s="2399"/>
      <c r="Z76" s="2399"/>
      <c r="AA76" s="2399"/>
      <c r="AB76" s="2399"/>
      <c r="AC76" s="2399"/>
    </row>
    <row r="77" spans="1:29" ht="23.1" customHeight="1">
      <c r="A77" s="186"/>
      <c r="B77" s="186"/>
      <c r="C77" s="186"/>
      <c r="D77" s="186"/>
      <c r="E77" s="186"/>
      <c r="F77" s="186"/>
      <c r="G77" s="186"/>
      <c r="H77" s="186"/>
      <c r="I77" s="186"/>
      <c r="J77" s="186"/>
      <c r="K77" s="186"/>
      <c r="L77" s="186"/>
      <c r="M77" s="186"/>
      <c r="N77" s="186"/>
      <c r="O77" s="186"/>
      <c r="P77" s="186"/>
      <c r="R77" s="957" t="e">
        <f>IF($D$76&gt;1.2,IF(COUNTIF($D75:D75,"○")=R74,1,0),0)</f>
        <v>#DIV/0!</v>
      </c>
      <c r="S77" s="957" t="e">
        <f>IF($D$76&gt;1.2,IF(COUNTIF($D75:E75,"○")=S74,1,0),0)</f>
        <v>#DIV/0!</v>
      </c>
      <c r="T77" s="957" t="e">
        <f>IF($D$76&gt;1.2,IF(COUNTIF($D75:F75,"○")=T74,1,0),0)</f>
        <v>#DIV/0!</v>
      </c>
      <c r="U77" s="957" t="e">
        <f>IF($D$76&gt;1.2,IF(COUNTIF($D75:G75,"○")=U74,1,0),0)</f>
        <v>#DIV/0!</v>
      </c>
      <c r="V77" s="957" t="e">
        <f>IF($D$76&gt;1.2,IF(COUNTIF($D75:H75,"○")=V74,1,0),0)</f>
        <v>#DIV/0!</v>
      </c>
      <c r="W77" s="957" t="e">
        <f>IF($D$76&gt;1.2,IF(COUNTIF($D75:I75,"○")=W74,1,0),0)</f>
        <v>#DIV/0!</v>
      </c>
      <c r="X77" s="957" t="e">
        <f>IF($D$76&gt;1.2,IF(COUNTIF($D75:J75,"○")=X74,1,0),0)</f>
        <v>#DIV/0!</v>
      </c>
      <c r="Y77" s="957" t="e">
        <f>IF($D$76&gt;1.2,IF(COUNTIF($D75:K75,"○")=Y74,1,0),0)</f>
        <v>#DIV/0!</v>
      </c>
      <c r="Z77" s="957" t="e">
        <f>IF($D$76&gt;1.2,IF(COUNTIF($D75:L75,"○")=Z74,1,0),0)</f>
        <v>#DIV/0!</v>
      </c>
      <c r="AA77" s="957" t="e">
        <f>IF($D$76&gt;1.2,IF(COUNTIF($D75:M75,"○")=AA74,1,0),0)</f>
        <v>#DIV/0!</v>
      </c>
      <c r="AB77" s="957" t="e">
        <f>IF($D$76&gt;1.2,IF(COUNTIF($D75:N75,"○")=AB74,1,0),0)</f>
        <v>#DIV/0!</v>
      </c>
      <c r="AC77" s="957" t="e">
        <f>IF($D$76&gt;1.2,IF(COUNTIF($D75:O75,"○")=AC74,1,0),0)</f>
        <v>#DIV/0!</v>
      </c>
    </row>
    <row r="78" spans="1:29" ht="23.1" customHeight="1">
      <c r="A78" s="186"/>
      <c r="B78" s="2416" t="e">
        <f>IF(AND($D$76&gt;=1.2,$P$75&lt;&gt;0),"　減算遡及適用：4　月　～　"&amp;IF(P75&gt;9,P75-9,P75+3)&amp;"　月","")</f>
        <v>#DIV/0!</v>
      </c>
      <c r="C78" s="2416"/>
      <c r="D78" s="2416"/>
      <c r="E78" s="2416"/>
      <c r="F78" s="2416"/>
      <c r="G78" s="2416"/>
      <c r="H78" s="2416"/>
      <c r="I78" s="2416"/>
      <c r="J78" s="186"/>
      <c r="K78" s="186"/>
      <c r="L78" s="186"/>
      <c r="M78" s="186"/>
      <c r="N78" s="186"/>
      <c r="O78" s="186"/>
      <c r="P78" s="186"/>
    </row>
    <row r="79" spans="1:29" ht="23.1" customHeight="1">
      <c r="A79" s="186"/>
      <c r="B79" s="207"/>
      <c r="C79" s="207"/>
      <c r="D79" s="207"/>
      <c r="E79" s="207"/>
      <c r="F79" s="207"/>
      <c r="G79" s="207"/>
      <c r="H79" s="207"/>
      <c r="I79" s="186"/>
      <c r="J79" s="186"/>
      <c r="K79" s="186"/>
      <c r="L79" s="186"/>
      <c r="M79" s="186"/>
      <c r="N79" s="186"/>
      <c r="O79" s="186"/>
      <c r="P79" s="186"/>
    </row>
    <row r="80" spans="1:29" ht="23.1" customHeight="1">
      <c r="A80" s="186"/>
      <c r="B80" s="186"/>
      <c r="C80" s="186"/>
      <c r="D80" s="186"/>
      <c r="E80" s="186"/>
      <c r="F80" s="186"/>
      <c r="G80" s="186"/>
      <c r="H80" s="186"/>
      <c r="I80" s="186"/>
      <c r="J80" s="186"/>
      <c r="K80" s="186"/>
      <c r="L80" s="186"/>
      <c r="M80" s="186"/>
      <c r="N80" s="186"/>
      <c r="O80" s="186"/>
      <c r="P80" s="186"/>
    </row>
    <row r="81" spans="1:16" ht="23.1" customHeight="1">
      <c r="A81" s="186"/>
      <c r="B81" s="186"/>
      <c r="C81" s="186"/>
      <c r="D81" s="186"/>
      <c r="E81" s="186"/>
      <c r="F81" s="186"/>
      <c r="G81" s="186"/>
      <c r="H81" s="186"/>
      <c r="I81" s="186"/>
      <c r="J81" s="186"/>
      <c r="K81" s="186"/>
      <c r="L81" s="186"/>
      <c r="M81" s="186"/>
      <c r="N81" s="186"/>
      <c r="O81" s="186"/>
      <c r="P81" s="186"/>
    </row>
    <row r="82" spans="1:16" ht="23.1" customHeight="1">
      <c r="A82" s="186"/>
      <c r="B82" s="186"/>
      <c r="C82" s="186"/>
      <c r="D82" s="186"/>
      <c r="E82" s="186"/>
      <c r="F82" s="186"/>
      <c r="G82" s="186"/>
      <c r="H82" s="186"/>
      <c r="I82" s="186"/>
      <c r="J82" s="186"/>
      <c r="K82" s="186"/>
      <c r="L82" s="186"/>
      <c r="M82" s="186"/>
      <c r="N82" s="186"/>
      <c r="O82" s="186"/>
      <c r="P82" s="186"/>
    </row>
    <row r="83" spans="1:16" ht="23.1" customHeight="1">
      <c r="A83" s="186"/>
      <c r="B83" s="186"/>
      <c r="C83" s="186"/>
      <c r="D83" s="186"/>
      <c r="E83" s="186"/>
      <c r="F83" s="186"/>
      <c r="G83" s="186"/>
      <c r="H83" s="186"/>
      <c r="I83" s="186"/>
      <c r="J83" s="186"/>
      <c r="K83" s="186"/>
      <c r="L83" s="186"/>
      <c r="M83" s="186"/>
      <c r="N83" s="186"/>
      <c r="O83" s="186"/>
      <c r="P83" s="186"/>
    </row>
  </sheetData>
  <sheetProtection algorithmName="SHA-512" hashValue="KNXnRWVlmbOM8uZ4ElI7bt+Xd7eYbE6m5iFdHRmmhO22NenID0HKgdrPeV+Hqd8O3RYRl44W/WQKDfNWjrO45Q==" saltValue="y6vzwt+rXpBi9gm+enLuEw==" spinCount="100000" sheet="1" objects="1" scenarios="1"/>
  <mergeCells count="58">
    <mergeCell ref="R76:AC76"/>
    <mergeCell ref="J67:K67"/>
    <mergeCell ref="D52:M52"/>
    <mergeCell ref="A54:P57"/>
    <mergeCell ref="A59:E59"/>
    <mergeCell ref="B60:G60"/>
    <mergeCell ref="A62:E62"/>
    <mergeCell ref="B63:G63"/>
    <mergeCell ref="B66:C66"/>
    <mergeCell ref="D66:E66"/>
    <mergeCell ref="B67:C67"/>
    <mergeCell ref="D67:E67"/>
    <mergeCell ref="G67:I67"/>
    <mergeCell ref="B78:I78"/>
    <mergeCell ref="B72:C72"/>
    <mergeCell ref="B73:C73"/>
    <mergeCell ref="B74:C74"/>
    <mergeCell ref="B75:C75"/>
    <mergeCell ref="B76:C76"/>
    <mergeCell ref="D76:E76"/>
    <mergeCell ref="R34:AC34"/>
    <mergeCell ref="L43:P43"/>
    <mergeCell ref="L44:P44"/>
    <mergeCell ref="I48:I49"/>
    <mergeCell ref="K48:O48"/>
    <mergeCell ref="K49:O49"/>
    <mergeCell ref="A43:K43"/>
    <mergeCell ref="B39:C39"/>
    <mergeCell ref="D39:E39"/>
    <mergeCell ref="B35:C36"/>
    <mergeCell ref="D35:E36"/>
    <mergeCell ref="F35:I36"/>
    <mergeCell ref="J35:K36"/>
    <mergeCell ref="L35:M36"/>
    <mergeCell ref="N35:P36"/>
    <mergeCell ref="B25:C25"/>
    <mergeCell ref="D25:E25"/>
    <mergeCell ref="B26:C26"/>
    <mergeCell ref="D26:E26"/>
    <mergeCell ref="B31:C31"/>
    <mergeCell ref="B32:C32"/>
    <mergeCell ref="B33:C33"/>
    <mergeCell ref="B34:C34"/>
    <mergeCell ref="G26:I26"/>
    <mergeCell ref="J26:K26"/>
    <mergeCell ref="B22:G22"/>
    <mergeCell ref="D10:M10"/>
    <mergeCell ref="L1:P1"/>
    <mergeCell ref="L2:P2"/>
    <mergeCell ref="I6:I7"/>
    <mergeCell ref="K6:O6"/>
    <mergeCell ref="K7:O7"/>
    <mergeCell ref="A1:K1"/>
    <mergeCell ref="A12:P15"/>
    <mergeCell ref="A16:P16"/>
    <mergeCell ref="A18:E18"/>
    <mergeCell ref="B19:G19"/>
    <mergeCell ref="A21:E21"/>
  </mergeCells>
  <phoneticPr fontId="1"/>
  <conditionalFormatting sqref="D35">
    <cfRule type="cellIs" dxfId="67" priority="6" operator="greaterThan">
      <formula>1.2</formula>
    </cfRule>
  </conditionalFormatting>
  <conditionalFormatting sqref="D76:E76">
    <cfRule type="cellIs" dxfId="66" priority="3" operator="greaterThan">
      <formula>1.2</formula>
    </cfRule>
  </conditionalFormatting>
  <conditionalFormatting sqref="D34:O34">
    <cfRule type="containsText" dxfId="65" priority="7" operator="containsText" text="未入力">
      <formula>NOT(ISERROR(SEARCH("未入力",D34)))</formula>
    </cfRule>
  </conditionalFormatting>
  <conditionalFormatting sqref="D75:O75">
    <cfRule type="containsText" dxfId="64" priority="5" operator="containsText" text="未入力">
      <formula>NOT(ISERROR(SEARCH("未入力",D75)))</formula>
    </cfRule>
  </conditionalFormatting>
  <conditionalFormatting sqref="L35">
    <cfRule type="cellIs" dxfId="63" priority="1" operator="greaterThanOrEqual">
      <formula>1.15</formula>
    </cfRule>
  </conditionalFormatting>
  <conditionalFormatting sqref="P34">
    <cfRule type="containsText" dxfId="62" priority="2" operator="containsText" text="超過">
      <formula>NOT(ISERROR(SEARCH("超過",P34)))</formula>
    </cfRule>
  </conditionalFormatting>
  <conditionalFormatting sqref="P75">
    <cfRule type="containsText" dxfId="61" priority="4" operator="containsText" text="超過">
      <formula>NOT(ISERROR(SEARCH("超過",P75)))</formula>
    </cfRule>
  </conditionalFormatting>
  <dataValidations count="1">
    <dataValidation type="list" allowBlank="1" showInputMessage="1" showErrorMessage="1" sqref="J26:K26 J67:K67" xr:uid="{00000000-0002-0000-0A00-000000000000}">
      <formula1>$S$2:$S$13</formula1>
    </dataValidation>
  </dataValidations>
  <printOptions horizontalCentered="1"/>
  <pageMargins left="0.31496062992125984" right="0.31496062992125984" top="0.74803149606299213" bottom="0.74803149606299213" header="0.31496062992125984" footer="0.31496062992125984"/>
  <pageSetup paperSize="9" scale="73" orientation="portrait" r:id="rId1"/>
  <rowBreaks count="1" manualBreakCount="1">
    <brk id="4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00B0F0"/>
  </sheetPr>
  <dimension ref="A1:AD83"/>
  <sheetViews>
    <sheetView view="pageBreakPreview" zoomScale="90" zoomScaleNormal="100" zoomScaleSheetLayoutView="90" workbookViewId="0">
      <selection sqref="A1:K1"/>
    </sheetView>
  </sheetViews>
  <sheetFormatPr defaultColWidth="9" defaultRowHeight="13.5" outlineLevelCol="1"/>
  <cols>
    <col min="1" max="3" width="7.625" style="187" customWidth="1"/>
    <col min="4" max="16" width="8.625" style="187" customWidth="1"/>
    <col min="17" max="17" width="53" style="187" customWidth="1"/>
    <col min="18" max="29" width="9" style="187" hidden="1" customWidth="1" outlineLevel="1"/>
    <col min="30" max="30" width="9" style="187" collapsed="1"/>
    <col min="31" max="16384" width="9" style="187"/>
  </cols>
  <sheetData>
    <row r="1" spans="1:20" ht="23.1" customHeight="1">
      <c r="A1" s="2388" t="s">
        <v>1204</v>
      </c>
      <c r="B1" s="2388"/>
      <c r="C1" s="2388"/>
      <c r="D1" s="2388"/>
      <c r="E1" s="2388"/>
      <c r="F1" s="2388"/>
      <c r="G1" s="2388"/>
      <c r="H1" s="2388"/>
      <c r="I1" s="2388"/>
      <c r="J1" s="2388"/>
      <c r="K1" s="2388"/>
      <c r="L1" s="2383" t="str">
        <f>$R$2&amp;"別紙6-3"&amp;$R$3</f>
        <v>加-25_4月申-別紙6-3-認_Ver.4.02</v>
      </c>
      <c r="M1" s="2383"/>
      <c r="N1" s="2383"/>
      <c r="O1" s="2383"/>
      <c r="P1" s="2383"/>
      <c r="R1" s="264" t="s">
        <v>1163</v>
      </c>
      <c r="S1" s="188" t="s">
        <v>85</v>
      </c>
      <c r="T1" s="188" t="s">
        <v>1180</v>
      </c>
    </row>
    <row r="2" spans="1:20" ht="23.1" customHeight="1">
      <c r="A2" s="186"/>
      <c r="B2" s="186"/>
      <c r="C2" s="186"/>
      <c r="D2" s="186"/>
      <c r="E2" s="186"/>
      <c r="F2" s="186"/>
      <c r="G2" s="186"/>
      <c r="H2" s="186"/>
      <c r="I2" s="186"/>
      <c r="J2" s="186"/>
      <c r="K2" s="186"/>
      <c r="L2" s="2384" t="e">
        <f>DATE(【様式１】総括表・個票!S422,【様式１】総括表・個票!X422,【様式１】総括表・個票!AA422)</f>
        <v>#NUM!</v>
      </c>
      <c r="M2" s="2384"/>
      <c r="N2" s="2384"/>
      <c r="O2" s="2384"/>
      <c r="P2" s="2384"/>
      <c r="R2" s="264" t="str">
        <f>【様式１】総括表・個票!$AJ$2</f>
        <v>加-25_4月申-</v>
      </c>
      <c r="S2" s="69"/>
      <c r="T2" s="188">
        <f>【様式１】総括表・個票!AK2</f>
        <v>2025</v>
      </c>
    </row>
    <row r="3" spans="1:20" ht="23.1" customHeight="1">
      <c r="A3" s="186"/>
      <c r="B3" s="186"/>
      <c r="C3" s="186"/>
      <c r="D3" s="186"/>
      <c r="E3" s="186"/>
      <c r="F3" s="186"/>
      <c r="G3" s="186"/>
      <c r="H3" s="186"/>
      <c r="I3" s="186"/>
      <c r="J3" s="186"/>
      <c r="K3" s="186"/>
      <c r="L3" s="186"/>
      <c r="M3" s="186"/>
      <c r="N3" s="186"/>
      <c r="O3" s="186"/>
      <c r="P3" s="186"/>
      <c r="R3" s="264" t="str">
        <f>【様式１】総括表・個票!$AJ$3</f>
        <v>-認_Ver.4.02</v>
      </c>
      <c r="S3" s="69">
        <v>4</v>
      </c>
      <c r="T3" s="835"/>
    </row>
    <row r="4" spans="1:20" ht="23.1" customHeight="1">
      <c r="A4" s="186"/>
      <c r="B4" s="186" t="s">
        <v>1206</v>
      </c>
      <c r="C4" s="186"/>
      <c r="D4" s="186"/>
      <c r="E4" s="186"/>
      <c r="F4" s="186"/>
      <c r="G4" s="186"/>
      <c r="H4" s="186"/>
      <c r="I4" s="186"/>
      <c r="J4" s="186"/>
      <c r="K4" s="186"/>
      <c r="L4" s="186"/>
      <c r="M4" s="186"/>
      <c r="N4" s="186"/>
      <c r="O4" s="186"/>
      <c r="P4" s="186"/>
      <c r="S4" s="69">
        <v>5</v>
      </c>
    </row>
    <row r="5" spans="1:20" ht="23.1" customHeight="1">
      <c r="A5" s="186"/>
      <c r="B5" s="186"/>
      <c r="C5" s="186"/>
      <c r="D5" s="186"/>
      <c r="E5" s="186"/>
      <c r="F5" s="186"/>
      <c r="G5" s="186"/>
      <c r="H5" s="186"/>
      <c r="I5" s="186"/>
      <c r="J5" s="186"/>
      <c r="K5" s="186"/>
      <c r="L5" s="186"/>
      <c r="M5" s="186"/>
      <c r="N5" s="186"/>
      <c r="O5" s="186"/>
      <c r="P5" s="186"/>
      <c r="S5" s="69">
        <v>6</v>
      </c>
    </row>
    <row r="6" spans="1:20" ht="23.1" customHeight="1">
      <c r="A6" s="186"/>
      <c r="B6" s="186"/>
      <c r="C6" s="186"/>
      <c r="D6" s="186"/>
      <c r="E6" s="186"/>
      <c r="F6" s="186"/>
      <c r="G6" s="186"/>
      <c r="H6" s="186"/>
      <c r="I6" s="2385" t="s">
        <v>703</v>
      </c>
      <c r="J6" s="186" t="s">
        <v>704</v>
      </c>
      <c r="K6" s="2386" t="str">
        <f>CONCATENATE(【様式１】総括表・個票!S6)</f>
        <v/>
      </c>
      <c r="L6" s="2386"/>
      <c r="M6" s="2386"/>
      <c r="N6" s="2386"/>
      <c r="O6" s="2386"/>
      <c r="P6" s="186"/>
      <c r="S6" s="69">
        <v>7</v>
      </c>
    </row>
    <row r="7" spans="1:20" ht="23.1" customHeight="1">
      <c r="A7" s="186"/>
      <c r="B7" s="186"/>
      <c r="C7" s="186"/>
      <c r="D7" s="186"/>
      <c r="E7" s="186"/>
      <c r="F7" s="186"/>
      <c r="G7" s="186"/>
      <c r="H7" s="186"/>
      <c r="I7" s="2385"/>
      <c r="J7" s="186" t="s">
        <v>705</v>
      </c>
      <c r="K7" s="2387" t="str">
        <f>CONCATENATE(【様式１】総括表・個票!S7)</f>
        <v/>
      </c>
      <c r="L7" s="2387"/>
      <c r="M7" s="2387"/>
      <c r="N7" s="2387"/>
      <c r="O7" s="2387"/>
      <c r="P7" s="186"/>
      <c r="S7" s="69">
        <v>8</v>
      </c>
    </row>
    <row r="8" spans="1:20" ht="23.1" customHeight="1">
      <c r="A8" s="186"/>
      <c r="B8" s="186"/>
      <c r="C8" s="186"/>
      <c r="D8" s="186"/>
      <c r="E8" s="186"/>
      <c r="F8" s="186"/>
      <c r="G8" s="186"/>
      <c r="H8" s="186"/>
      <c r="I8" s="186"/>
      <c r="J8" s="186"/>
      <c r="K8" s="186"/>
      <c r="L8" s="186"/>
      <c r="M8" s="186"/>
      <c r="N8" s="186"/>
      <c r="O8" s="959"/>
      <c r="P8" s="186"/>
      <c r="S8" s="69">
        <v>9</v>
      </c>
    </row>
    <row r="9" spans="1:20" ht="23.1" customHeight="1">
      <c r="A9" s="186"/>
      <c r="B9" s="186"/>
      <c r="C9" s="186"/>
      <c r="D9" s="186"/>
      <c r="E9" s="186"/>
      <c r="F9" s="186"/>
      <c r="G9" s="186"/>
      <c r="H9" s="186"/>
      <c r="I9" s="186"/>
      <c r="J9" s="186"/>
      <c r="K9" s="186"/>
      <c r="L9" s="186"/>
      <c r="M9" s="186"/>
      <c r="N9" s="186"/>
      <c r="O9" s="186"/>
      <c r="P9" s="186"/>
      <c r="S9" s="69">
        <v>10</v>
      </c>
    </row>
    <row r="10" spans="1:20" ht="23.1" customHeight="1">
      <c r="A10" s="186"/>
      <c r="B10" s="186"/>
      <c r="C10" s="186"/>
      <c r="D10" s="2382" t="s">
        <v>706</v>
      </c>
      <c r="E10" s="2382"/>
      <c r="F10" s="2382"/>
      <c r="G10" s="2382"/>
      <c r="H10" s="2382"/>
      <c r="I10" s="2382"/>
      <c r="J10" s="2382"/>
      <c r="K10" s="2382"/>
      <c r="L10" s="2382"/>
      <c r="M10" s="2382"/>
      <c r="N10" s="186"/>
      <c r="O10" s="186"/>
      <c r="P10" s="186"/>
      <c r="S10" s="69">
        <v>11</v>
      </c>
    </row>
    <row r="11" spans="1:20" ht="23.1" customHeight="1">
      <c r="A11" s="186"/>
      <c r="B11" s="186"/>
      <c r="C11" s="186"/>
      <c r="D11" s="186"/>
      <c r="E11" s="186"/>
      <c r="F11" s="186"/>
      <c r="G11" s="186"/>
      <c r="H11" s="186"/>
      <c r="I11" s="186"/>
      <c r="J11" s="186"/>
      <c r="K11" s="186"/>
      <c r="L11" s="186"/>
      <c r="M11" s="186"/>
      <c r="N11" s="186"/>
      <c r="O11" s="186"/>
      <c r="P11" s="186"/>
      <c r="S11" s="69">
        <v>1</v>
      </c>
    </row>
    <row r="12" spans="1:20" ht="23.1" customHeight="1">
      <c r="A12" s="2389" t="str">
        <f>"　保育の提供について、２年度間常に２・３号認定こどもの利用定員を超えており、かつ、年間平均在所率が120%以上の状態にありましたが、"&amp;【様式１】総括表・個票!AK2&amp;"年度についてはこの状態を解消できる見込みであるため、下記のとおり申し出いたします。"</f>
        <v>　保育の提供について、２年度間常に２・３号認定こどもの利用定員を超えており、かつ、年間平均在所率が120%以上の状態にありましたが、2025年度についてはこの状態を解消できる見込みであるため、下記のとおり申し出いたします。</v>
      </c>
      <c r="B12" s="2389"/>
      <c r="C12" s="2389"/>
      <c r="D12" s="2389"/>
      <c r="E12" s="2389"/>
      <c r="F12" s="2389"/>
      <c r="G12" s="2389"/>
      <c r="H12" s="2389"/>
      <c r="I12" s="2389"/>
      <c r="J12" s="2389"/>
      <c r="K12" s="2389"/>
      <c r="L12" s="2389"/>
      <c r="M12" s="2389"/>
      <c r="N12" s="2389"/>
      <c r="O12" s="2389"/>
      <c r="P12" s="2389"/>
      <c r="S12" s="69">
        <v>2</v>
      </c>
    </row>
    <row r="13" spans="1:20" ht="23.1" customHeight="1">
      <c r="A13" s="2389"/>
      <c r="B13" s="2389"/>
      <c r="C13" s="2389"/>
      <c r="D13" s="2389"/>
      <c r="E13" s="2389"/>
      <c r="F13" s="2389"/>
      <c r="G13" s="2389"/>
      <c r="H13" s="2389"/>
      <c r="I13" s="2389"/>
      <c r="J13" s="2389"/>
      <c r="K13" s="2389"/>
      <c r="L13" s="2389"/>
      <c r="M13" s="2389"/>
      <c r="N13" s="2389"/>
      <c r="O13" s="2389"/>
      <c r="P13" s="2389"/>
      <c r="S13" s="69">
        <v>3</v>
      </c>
    </row>
    <row r="14" spans="1:20" ht="23.1" customHeight="1">
      <c r="A14" s="2389"/>
      <c r="B14" s="2389"/>
      <c r="C14" s="2389"/>
      <c r="D14" s="2389"/>
      <c r="E14" s="2389"/>
      <c r="F14" s="2389"/>
      <c r="G14" s="2389"/>
      <c r="H14" s="2389"/>
      <c r="I14" s="2389"/>
      <c r="J14" s="2389"/>
      <c r="K14" s="2389"/>
      <c r="L14" s="2389"/>
      <c r="M14" s="2389"/>
      <c r="N14" s="2389"/>
      <c r="O14" s="2389"/>
      <c r="P14" s="2389"/>
    </row>
    <row r="15" spans="1:20" ht="23.1" customHeight="1">
      <c r="A15" s="2389"/>
      <c r="B15" s="2389"/>
      <c r="C15" s="2389"/>
      <c r="D15" s="2389"/>
      <c r="E15" s="2389"/>
      <c r="F15" s="2389"/>
      <c r="G15" s="2389"/>
      <c r="H15" s="2389"/>
      <c r="I15" s="2389"/>
      <c r="J15" s="2389"/>
      <c r="K15" s="2389"/>
      <c r="L15" s="2389"/>
      <c r="M15" s="2389"/>
      <c r="N15" s="2389"/>
      <c r="O15" s="2389"/>
      <c r="P15" s="2389"/>
    </row>
    <row r="16" spans="1:20" ht="23.1" customHeight="1">
      <c r="A16" s="2390" t="s">
        <v>707</v>
      </c>
      <c r="B16" s="2390"/>
      <c r="C16" s="2390"/>
      <c r="D16" s="2390"/>
      <c r="E16" s="2390"/>
      <c r="F16" s="2390"/>
      <c r="G16" s="2390"/>
      <c r="H16" s="2390"/>
      <c r="I16" s="2390"/>
      <c r="J16" s="2390"/>
      <c r="K16" s="2390"/>
      <c r="L16" s="2390"/>
      <c r="M16" s="2390"/>
      <c r="N16" s="2390"/>
      <c r="O16" s="2390"/>
      <c r="P16" s="2390"/>
    </row>
    <row r="17" spans="1:29" ht="23.1" customHeight="1">
      <c r="A17" s="186"/>
      <c r="B17" s="186"/>
      <c r="C17" s="186"/>
      <c r="D17" s="186"/>
      <c r="E17" s="186"/>
      <c r="F17" s="186"/>
      <c r="G17" s="186"/>
      <c r="H17" s="186"/>
      <c r="I17" s="186"/>
      <c r="J17" s="186"/>
      <c r="K17" s="186"/>
      <c r="L17" s="186"/>
      <c r="M17" s="186"/>
      <c r="N17" s="186"/>
      <c r="O17" s="186"/>
      <c r="P17" s="186"/>
    </row>
    <row r="18" spans="1:29" ht="23.1" customHeight="1">
      <c r="A18" s="2391" t="s">
        <v>708</v>
      </c>
      <c r="B18" s="2391"/>
      <c r="C18" s="2391"/>
      <c r="D18" s="2391"/>
      <c r="E18" s="2391"/>
      <c r="F18" s="186"/>
      <c r="G18" s="186"/>
      <c r="H18" s="186"/>
      <c r="I18" s="186"/>
      <c r="J18" s="186"/>
      <c r="K18" s="186"/>
      <c r="L18" s="186"/>
      <c r="M18" s="186"/>
      <c r="N18" s="186"/>
      <c r="O18" s="186"/>
      <c r="P18" s="186"/>
    </row>
    <row r="19" spans="1:29" ht="23.1" customHeight="1">
      <c r="A19" s="186"/>
      <c r="B19" s="2392">
        <f>【様式１】総括表・個票!D12</f>
        <v>0</v>
      </c>
      <c r="C19" s="2392"/>
      <c r="D19" s="2392"/>
      <c r="E19" s="2392"/>
      <c r="F19" s="2392"/>
      <c r="G19" s="2392"/>
      <c r="H19" s="186"/>
      <c r="I19" s="186"/>
      <c r="J19" s="186"/>
      <c r="K19" s="186"/>
      <c r="L19" s="186"/>
      <c r="M19" s="186"/>
      <c r="N19" s="186"/>
      <c r="O19" s="186"/>
      <c r="P19" s="186"/>
    </row>
    <row r="20" spans="1:29" ht="23.1" customHeight="1">
      <c r="A20" s="186"/>
      <c r="B20" s="186"/>
      <c r="C20" s="186"/>
      <c r="D20" s="186"/>
      <c r="E20" s="186"/>
      <c r="F20" s="186"/>
      <c r="G20" s="186"/>
      <c r="H20" s="186"/>
      <c r="I20" s="186"/>
      <c r="J20" s="186"/>
      <c r="K20" s="186"/>
      <c r="L20" s="186"/>
      <c r="M20" s="186"/>
      <c r="N20" s="186"/>
      <c r="O20" s="186"/>
      <c r="P20" s="186"/>
    </row>
    <row r="21" spans="1:29" ht="23.1" customHeight="1">
      <c r="A21" s="2391" t="s">
        <v>1192</v>
      </c>
      <c r="B21" s="2391"/>
      <c r="C21" s="2391"/>
      <c r="D21" s="2391"/>
      <c r="E21" s="2391"/>
      <c r="F21" s="186"/>
      <c r="G21" s="186"/>
      <c r="H21" s="186"/>
      <c r="I21" s="186"/>
      <c r="J21" s="186"/>
      <c r="K21" s="186"/>
      <c r="L21" s="186"/>
      <c r="M21" s="186"/>
      <c r="N21" s="186"/>
      <c r="O21" s="186"/>
      <c r="P21" s="186"/>
    </row>
    <row r="22" spans="1:29" ht="23.1" customHeight="1">
      <c r="A22" s="186"/>
      <c r="B22" s="2381" t="str">
        <f>CONCATENATE(【様式１】総括表・個票!S423)</f>
        <v/>
      </c>
      <c r="C22" s="2381"/>
      <c r="D22" s="2381"/>
      <c r="E22" s="2381"/>
      <c r="F22" s="2381"/>
      <c r="G22" s="2381"/>
      <c r="H22" s="186"/>
      <c r="I22" s="186"/>
      <c r="J22" s="186"/>
      <c r="K22" s="186"/>
      <c r="L22" s="186"/>
      <c r="M22" s="186"/>
      <c r="N22" s="186"/>
      <c r="O22" s="186"/>
      <c r="P22" s="186"/>
    </row>
    <row r="23" spans="1:29" ht="23.1" customHeight="1">
      <c r="A23" s="186"/>
      <c r="B23" s="186"/>
      <c r="C23" s="186"/>
      <c r="D23" s="186"/>
      <c r="E23" s="186"/>
      <c r="F23" s="186"/>
      <c r="G23" s="186"/>
      <c r="H23" s="186"/>
      <c r="I23" s="186"/>
      <c r="J23" s="186"/>
      <c r="K23" s="186"/>
      <c r="L23" s="186"/>
      <c r="M23" s="186"/>
      <c r="N23" s="186"/>
      <c r="O23" s="186"/>
      <c r="P23" s="186"/>
      <c r="R23" s="957" t="str">
        <f>IF(B22&lt;&gt;"","○","")</f>
        <v/>
      </c>
    </row>
    <row r="24" spans="1:29" ht="23.1" customHeight="1">
      <c r="A24" s="186"/>
      <c r="B24" s="186" t="s">
        <v>709</v>
      </c>
      <c r="C24" s="186"/>
      <c r="D24" s="186"/>
      <c r="E24" s="186"/>
      <c r="F24" s="186"/>
      <c r="G24" s="186"/>
      <c r="H24" s="186"/>
      <c r="I24" s="186"/>
      <c r="J24" s="186"/>
      <c r="K24" s="186"/>
      <c r="L24" s="186"/>
      <c r="M24" s="186"/>
      <c r="N24" s="186"/>
      <c r="O24" s="186"/>
      <c r="P24" s="186"/>
    </row>
    <row r="25" spans="1:29" ht="23.1" customHeight="1">
      <c r="A25" s="186"/>
      <c r="B25" s="2385" t="str">
        <f>IF($R$23="○","見直し前","定員")</f>
        <v>定員</v>
      </c>
      <c r="C25" s="2385"/>
      <c r="D25" s="2396">
        <f>SUM(【様式１】総括表・個票!M14,【様式１】総括表・個票!R14,【様式１】総括表・個票!R15)</f>
        <v>0</v>
      </c>
      <c r="E25" s="2396"/>
      <c r="F25" s="186" t="s">
        <v>344</v>
      </c>
      <c r="G25" s="186"/>
      <c r="H25" s="186"/>
      <c r="I25" s="186"/>
      <c r="J25" s="186"/>
      <c r="K25" s="186"/>
      <c r="L25" s="186"/>
      <c r="M25" s="186"/>
      <c r="N25" s="186"/>
      <c r="O25" s="186"/>
      <c r="P25" s="186"/>
    </row>
    <row r="26" spans="1:29" ht="23.1" customHeight="1">
      <c r="A26" s="186"/>
      <c r="B26" s="2385" t="str">
        <f>IF($R$23="○","見直し後","")</f>
        <v/>
      </c>
      <c r="C26" s="2385"/>
      <c r="D26" s="2397"/>
      <c r="E26" s="2397"/>
      <c r="F26" s="186" t="str">
        <f>IF($R$23="○","人","")</f>
        <v/>
      </c>
      <c r="G26" s="2385" t="str">
        <f>IF($R$23="○","（見直した月","")</f>
        <v/>
      </c>
      <c r="H26" s="2385"/>
      <c r="I26" s="2385"/>
      <c r="J26" s="2395"/>
      <c r="K26" s="2395"/>
      <c r="L26" s="186" t="str">
        <f>IF($R$23="○","月）","")</f>
        <v/>
      </c>
      <c r="M26" s="186"/>
      <c r="N26" s="186"/>
      <c r="O26" s="186"/>
      <c r="P26" s="186"/>
      <c r="R26" s="188">
        <f>D25</f>
        <v>0</v>
      </c>
    </row>
    <row r="27" spans="1:29" ht="23.1" customHeight="1">
      <c r="A27" s="186"/>
      <c r="B27" s="186"/>
      <c r="C27" s="186"/>
      <c r="D27" s="186"/>
      <c r="E27" s="186"/>
      <c r="F27" s="186"/>
      <c r="G27" s="186"/>
      <c r="H27" s="186"/>
      <c r="I27" s="186"/>
      <c r="J27" s="186"/>
      <c r="K27" s="186"/>
      <c r="L27" s="186"/>
      <c r="M27" s="186"/>
      <c r="N27" s="186"/>
      <c r="O27" s="186"/>
      <c r="P27" s="186"/>
      <c r="R27" s="188">
        <f>IF(D26="",R26,D26)</f>
        <v>0</v>
      </c>
      <c r="S27" s="189">
        <f>IF(OR(J26="",J26=0),12,IF(J26&gt;=4,J26-3,J26+9))</f>
        <v>12</v>
      </c>
    </row>
    <row r="28" spans="1:29" ht="23.1" customHeight="1">
      <c r="A28" s="186"/>
      <c r="B28" s="186" t="s">
        <v>710</v>
      </c>
      <c r="C28" s="186"/>
      <c r="D28" s="186"/>
      <c r="E28" s="186"/>
      <c r="F28" s="186"/>
      <c r="G28" s="186"/>
      <c r="H28" s="186"/>
      <c r="I28" s="186"/>
      <c r="J28" s="186"/>
      <c r="K28" s="186"/>
      <c r="L28" s="186"/>
      <c r="M28" s="186"/>
      <c r="N28" s="186"/>
      <c r="O28" s="186"/>
      <c r="P28" s="186"/>
    </row>
    <row r="29" spans="1:29" ht="23.1" customHeight="1">
      <c r="A29" s="186"/>
      <c r="B29" s="186" t="s">
        <v>711</v>
      </c>
      <c r="C29" s="186"/>
      <c r="D29" s="186"/>
      <c r="E29" s="186"/>
      <c r="F29" s="186"/>
      <c r="G29" s="186"/>
      <c r="H29" s="186"/>
      <c r="I29" s="186"/>
      <c r="J29" s="186"/>
      <c r="K29" s="186"/>
      <c r="L29" s="186"/>
      <c r="M29" s="186"/>
      <c r="N29" s="186"/>
      <c r="O29" s="186"/>
      <c r="P29" s="186"/>
    </row>
    <row r="30" spans="1:29" ht="23.1" customHeight="1" thickBot="1">
      <c r="A30" s="186"/>
      <c r="B30" s="186" t="s">
        <v>1202</v>
      </c>
      <c r="C30" s="186"/>
      <c r="D30" s="186"/>
      <c r="E30" s="186"/>
      <c r="F30" s="186"/>
      <c r="G30" s="186"/>
      <c r="H30" s="186"/>
      <c r="I30" s="186"/>
      <c r="J30" s="186"/>
      <c r="K30" s="186"/>
      <c r="L30" s="186"/>
      <c r="M30" s="186"/>
      <c r="N30" s="186"/>
      <c r="O30" s="186"/>
      <c r="P30" s="186"/>
    </row>
    <row r="31" spans="1:29" ht="23.1" customHeight="1">
      <c r="A31" s="186"/>
      <c r="B31" s="2398" t="s">
        <v>1203</v>
      </c>
      <c r="C31" s="2398"/>
      <c r="D31" s="190" t="s">
        <v>53</v>
      </c>
      <c r="E31" s="191" t="s">
        <v>54</v>
      </c>
      <c r="F31" s="191" t="s">
        <v>55</v>
      </c>
      <c r="G31" s="191" t="s">
        <v>56</v>
      </c>
      <c r="H31" s="191" t="s">
        <v>57</v>
      </c>
      <c r="I31" s="191" t="s">
        <v>58</v>
      </c>
      <c r="J31" s="191" t="s">
        <v>59</v>
      </c>
      <c r="K31" s="191" t="s">
        <v>60</v>
      </c>
      <c r="L31" s="191" t="s">
        <v>61</v>
      </c>
      <c r="M31" s="191" t="s">
        <v>62</v>
      </c>
      <c r="N31" s="191" t="s">
        <v>63</v>
      </c>
      <c r="O31" s="192" t="s">
        <v>64</v>
      </c>
      <c r="P31" s="193" t="s">
        <v>15</v>
      </c>
      <c r="R31" s="958" t="s">
        <v>53</v>
      </c>
      <c r="S31" s="958" t="s">
        <v>54</v>
      </c>
      <c r="T31" s="958" t="s">
        <v>55</v>
      </c>
      <c r="U31" s="958" t="s">
        <v>56</v>
      </c>
      <c r="V31" s="958" t="s">
        <v>57</v>
      </c>
      <c r="W31" s="958" t="s">
        <v>58</v>
      </c>
      <c r="X31" s="958" t="s">
        <v>59</v>
      </c>
      <c r="Y31" s="958" t="s">
        <v>60</v>
      </c>
      <c r="Z31" s="958" t="s">
        <v>61</v>
      </c>
      <c r="AA31" s="958" t="s">
        <v>62</v>
      </c>
      <c r="AB31" s="958" t="s">
        <v>63</v>
      </c>
      <c r="AC31" s="958" t="s">
        <v>64</v>
      </c>
    </row>
    <row r="32" spans="1:29" ht="23.1" customHeight="1">
      <c r="A32" s="186"/>
      <c r="B32" s="2393" t="s">
        <v>712</v>
      </c>
      <c r="C32" s="2393"/>
      <c r="D32" s="194">
        <f>IF($S$27&gt;R32,$R$26,$R$27)</f>
        <v>0</v>
      </c>
      <c r="E32" s="195">
        <f t="shared" ref="E32:O32" si="0">IF($S$27&gt;S32,$R$26,$R$27)</f>
        <v>0</v>
      </c>
      <c r="F32" s="195">
        <f t="shared" si="0"/>
        <v>0</v>
      </c>
      <c r="G32" s="195">
        <f t="shared" si="0"/>
        <v>0</v>
      </c>
      <c r="H32" s="195">
        <f t="shared" si="0"/>
        <v>0</v>
      </c>
      <c r="I32" s="195">
        <f t="shared" si="0"/>
        <v>0</v>
      </c>
      <c r="J32" s="195">
        <f t="shared" si="0"/>
        <v>0</v>
      </c>
      <c r="K32" s="195">
        <f t="shared" si="0"/>
        <v>0</v>
      </c>
      <c r="L32" s="195">
        <f t="shared" si="0"/>
        <v>0</v>
      </c>
      <c r="M32" s="195">
        <f t="shared" si="0"/>
        <v>0</v>
      </c>
      <c r="N32" s="195">
        <f t="shared" si="0"/>
        <v>0</v>
      </c>
      <c r="O32" s="196">
        <f t="shared" si="0"/>
        <v>0</v>
      </c>
      <c r="P32" s="197">
        <f>SUM(D32:O32)</f>
        <v>0</v>
      </c>
      <c r="R32" s="188">
        <v>1</v>
      </c>
      <c r="S32" s="188">
        <v>2</v>
      </c>
      <c r="T32" s="188">
        <v>3</v>
      </c>
      <c r="U32" s="188">
        <v>4</v>
      </c>
      <c r="V32" s="188">
        <v>5</v>
      </c>
      <c r="W32" s="188">
        <v>6</v>
      </c>
      <c r="X32" s="188">
        <v>7</v>
      </c>
      <c r="Y32" s="188">
        <v>8</v>
      </c>
      <c r="Z32" s="188">
        <v>9</v>
      </c>
      <c r="AA32" s="188">
        <v>10</v>
      </c>
      <c r="AB32" s="188">
        <v>11</v>
      </c>
      <c r="AC32" s="188">
        <v>12</v>
      </c>
    </row>
    <row r="33" spans="1:29" ht="23.1" customHeight="1">
      <c r="A33" s="186"/>
      <c r="B33" s="2394" t="s">
        <v>713</v>
      </c>
      <c r="C33" s="2394"/>
      <c r="D33" s="198"/>
      <c r="E33" s="199"/>
      <c r="F33" s="199"/>
      <c r="G33" s="199"/>
      <c r="H33" s="199"/>
      <c r="I33" s="199"/>
      <c r="J33" s="199"/>
      <c r="K33" s="199"/>
      <c r="L33" s="199"/>
      <c r="M33" s="199"/>
      <c r="N33" s="199"/>
      <c r="O33" s="200"/>
      <c r="P33" s="201">
        <f>SUM(D33:O33)</f>
        <v>0</v>
      </c>
      <c r="R33" s="837" t="e">
        <f t="shared" ref="R33:AA33" si="1">ROUNDDOWN(SUM(D33:F33)/SUM(D32:F32),2)</f>
        <v>#DIV/0!</v>
      </c>
      <c r="S33" s="837" t="e">
        <f t="shared" si="1"/>
        <v>#DIV/0!</v>
      </c>
      <c r="T33" s="837" t="e">
        <f t="shared" si="1"/>
        <v>#DIV/0!</v>
      </c>
      <c r="U33" s="837" t="e">
        <f t="shared" si="1"/>
        <v>#DIV/0!</v>
      </c>
      <c r="V33" s="837" t="e">
        <f t="shared" si="1"/>
        <v>#DIV/0!</v>
      </c>
      <c r="W33" s="837" t="e">
        <f t="shared" si="1"/>
        <v>#DIV/0!</v>
      </c>
      <c r="X33" s="837" t="e">
        <f t="shared" si="1"/>
        <v>#DIV/0!</v>
      </c>
      <c r="Y33" s="837" t="e">
        <f t="shared" si="1"/>
        <v>#DIV/0!</v>
      </c>
      <c r="Z33" s="837" t="e">
        <f t="shared" si="1"/>
        <v>#DIV/0!</v>
      </c>
      <c r="AA33" s="837" t="e">
        <f t="shared" si="1"/>
        <v>#DIV/0!</v>
      </c>
      <c r="AB33" s="837" t="e">
        <f>ROUNDDOWN(SUM(N33:O33)/SUM(N32:O32),2)</f>
        <v>#DIV/0!</v>
      </c>
      <c r="AC33" s="837" t="e">
        <f>ROUNDDOWN(SUM(O33:O33)/SUM(O32:O32),2)</f>
        <v>#DIV/0!</v>
      </c>
    </row>
    <row r="34" spans="1:29" ht="23.1" customHeight="1" thickBot="1">
      <c r="A34" s="186"/>
      <c r="B34" s="2394" t="s">
        <v>714</v>
      </c>
      <c r="C34" s="2394"/>
      <c r="D34" s="202" t="str">
        <f>IF(D33="","未入力",IF(D33&gt;D32,"○","×"))</f>
        <v>未入力</v>
      </c>
      <c r="E34" s="203" t="str">
        <f t="shared" ref="E34:O34" si="2">IF(E33="","未入力",IF(E33&gt;E32,"○","×"))</f>
        <v>未入力</v>
      </c>
      <c r="F34" s="204" t="str">
        <f t="shared" si="2"/>
        <v>未入力</v>
      </c>
      <c r="G34" s="204" t="str">
        <f t="shared" si="2"/>
        <v>未入力</v>
      </c>
      <c r="H34" s="204" t="str">
        <f t="shared" si="2"/>
        <v>未入力</v>
      </c>
      <c r="I34" s="204" t="str">
        <f t="shared" si="2"/>
        <v>未入力</v>
      </c>
      <c r="J34" s="204" t="str">
        <f t="shared" si="2"/>
        <v>未入力</v>
      </c>
      <c r="K34" s="204" t="str">
        <f t="shared" si="2"/>
        <v>未入力</v>
      </c>
      <c r="L34" s="204" t="str">
        <f t="shared" si="2"/>
        <v>未入力</v>
      </c>
      <c r="M34" s="204" t="str">
        <f t="shared" si="2"/>
        <v>未入力</v>
      </c>
      <c r="N34" s="204" t="str">
        <f t="shared" si="2"/>
        <v>未入力</v>
      </c>
      <c r="O34" s="205" t="str">
        <f t="shared" si="2"/>
        <v>未入力</v>
      </c>
      <c r="P34" s="206" t="e">
        <f>SUM(R35:AC35)</f>
        <v>#DIV/0!</v>
      </c>
      <c r="R34" s="2399" t="s">
        <v>94</v>
      </c>
      <c r="S34" s="2399"/>
      <c r="T34" s="2399"/>
      <c r="U34" s="2399"/>
      <c r="V34" s="2399"/>
      <c r="W34" s="2399"/>
      <c r="X34" s="2399"/>
      <c r="Y34" s="2399"/>
      <c r="Z34" s="2399"/>
      <c r="AA34" s="2399"/>
      <c r="AB34" s="2399"/>
      <c r="AC34" s="2399"/>
    </row>
    <row r="35" spans="1:29" ht="23.1" customHeight="1">
      <c r="A35" s="186"/>
      <c r="B35" s="2402" t="s">
        <v>715</v>
      </c>
      <c r="C35" s="2403"/>
      <c r="D35" s="2406" t="e">
        <f>ROUNDDOWN(P33/P32,2)</f>
        <v>#DIV/0!</v>
      </c>
      <c r="E35" s="2407"/>
      <c r="F35" s="2410" t="e">
        <f>IF(D35&gt;1.2,"➡不適切な申出です","")</f>
        <v>#DIV/0!</v>
      </c>
      <c r="G35" s="2410"/>
      <c r="H35" s="2410"/>
      <c r="I35" s="2410"/>
      <c r="J35" s="2412" t="str">
        <f>J26&amp;"月から"&amp;IF(J26=2,2,IF(J26=3,1,3))&amp;"か月間の平均在所率"</f>
        <v>月から3か月間の平均在所率</v>
      </c>
      <c r="K35" s="2413"/>
      <c r="L35" s="2406" t="e">
        <f>IFERROR(HLOOKUP(S27,R32:AC33,2,FALSE),R33)</f>
        <v>#DIV/0!</v>
      </c>
      <c r="M35" s="2407"/>
      <c r="N35" s="2411" t="e">
        <f>IF(AND(T3&gt;=2022,L35&gt;=1.15),"➡不適切な申出です","")</f>
        <v>#DIV/0!</v>
      </c>
      <c r="O35" s="2411"/>
      <c r="P35" s="2411"/>
      <c r="R35" s="957" t="e">
        <f>IF($D$35&gt;1.2,IF(COUNTIF($D34:D34,"○")=R32,1,0),0)</f>
        <v>#DIV/0!</v>
      </c>
      <c r="S35" s="957" t="e">
        <f>IF($D$35&gt;1.2,IF(COUNTIF($D34:E34,"○")=S32,1,0),0)</f>
        <v>#DIV/0!</v>
      </c>
      <c r="T35" s="957" t="e">
        <f>IF($D$35&gt;1.2,IF(COUNTIF($D34:F34,"○")=T32,1,0),0)</f>
        <v>#DIV/0!</v>
      </c>
      <c r="U35" s="957" t="e">
        <f>IF($D$35&gt;1.2,IF(COUNTIF($D34:G34,"○")=U32,1,0),0)</f>
        <v>#DIV/0!</v>
      </c>
      <c r="V35" s="957" t="e">
        <f>IF($D$35&gt;1.2,IF(COUNTIF($D34:H34,"○")=V32,1,0),0)</f>
        <v>#DIV/0!</v>
      </c>
      <c r="W35" s="957" t="e">
        <f>IF($D$35&gt;1.2,IF(COUNTIF($D34:I34,"○")=W32,1,0),0)</f>
        <v>#DIV/0!</v>
      </c>
      <c r="X35" s="957" t="e">
        <f>IF($D$35&gt;1.2,IF(COUNTIF($D34:J34,"○")=X32,1,0),0)</f>
        <v>#DIV/0!</v>
      </c>
      <c r="Y35" s="957" t="e">
        <f>IF($D$35&gt;1.2,IF(COUNTIF($D34:K34,"○")=Y32,1,0),0)</f>
        <v>#DIV/0!</v>
      </c>
      <c r="Z35" s="957" t="e">
        <f>IF($D$35&gt;1.2,IF(COUNTIF($D34:L34,"○")=Z32,1,0),0)</f>
        <v>#DIV/0!</v>
      </c>
      <c r="AA35" s="957" t="e">
        <f>IF($D$35&gt;1.2,IF(COUNTIF($D34:M34,"○")=AA32,1,0),0)</f>
        <v>#DIV/0!</v>
      </c>
      <c r="AB35" s="957" t="e">
        <f>IF($D$35&gt;1.2,IF(COUNTIF($D34:N34,"○")=AB32,1,0),0)</f>
        <v>#DIV/0!</v>
      </c>
      <c r="AC35" s="957" t="e">
        <f>IF($D$35&gt;1.2,IF(COUNTIF($D34:O34,"○")=AC32,1,0),0)</f>
        <v>#DIV/0!</v>
      </c>
    </row>
    <row r="36" spans="1:29" ht="23.1" customHeight="1" thickBot="1">
      <c r="A36" s="186"/>
      <c r="B36" s="2404"/>
      <c r="C36" s="2405"/>
      <c r="D36" s="2408"/>
      <c r="E36" s="2409"/>
      <c r="F36" s="2411"/>
      <c r="G36" s="2411"/>
      <c r="H36" s="2411"/>
      <c r="I36" s="2411"/>
      <c r="J36" s="2414"/>
      <c r="K36" s="2415"/>
      <c r="L36" s="2408"/>
      <c r="M36" s="2409"/>
      <c r="N36" s="2411"/>
      <c r="O36" s="2411"/>
      <c r="P36" s="2411"/>
    </row>
    <row r="37" spans="1:29" ht="23.1" customHeight="1">
      <c r="A37" s="186"/>
      <c r="B37" s="207"/>
      <c r="C37" s="207"/>
      <c r="D37" s="207"/>
      <c r="E37" s="207"/>
      <c r="F37" s="186"/>
      <c r="G37" s="186"/>
      <c r="H37" s="186"/>
      <c r="I37" s="186"/>
      <c r="J37" s="186"/>
      <c r="K37" s="186"/>
      <c r="L37" s="186"/>
      <c r="M37" s="186"/>
      <c r="N37" s="186"/>
      <c r="O37" s="186"/>
      <c r="P37" s="186"/>
    </row>
    <row r="38" spans="1:29" ht="23.1" customHeight="1">
      <c r="A38" s="186"/>
      <c r="B38" s="186"/>
      <c r="C38" s="186"/>
      <c r="D38" s="186"/>
      <c r="E38" s="186"/>
      <c r="F38" s="186"/>
      <c r="G38" s="186"/>
      <c r="H38" s="186"/>
      <c r="I38" s="186"/>
      <c r="J38" s="186"/>
      <c r="K38" s="186"/>
      <c r="L38" s="186"/>
      <c r="M38" s="186"/>
      <c r="N38" s="186"/>
      <c r="O38" s="186"/>
      <c r="P38" s="186"/>
    </row>
    <row r="39" spans="1:29" ht="23.1" customHeight="1">
      <c r="A39" s="186"/>
      <c r="B39" s="2401" t="s">
        <v>1191</v>
      </c>
      <c r="C39" s="2401"/>
      <c r="D39" s="2401" t="str">
        <f>IFERROR(IF(OR(D35&gt;=1.2,AND(T2&gt;=2022,L35&gt;=1.15),COUNTIF(D34:O34,"未入力")&gt;=1),"×","○"),"× ")</f>
        <v xml:space="preserve">× </v>
      </c>
      <c r="E39" s="2401"/>
      <c r="F39" s="186"/>
      <c r="G39" s="186"/>
      <c r="H39" s="186"/>
      <c r="I39" s="186"/>
      <c r="J39" s="186"/>
      <c r="K39" s="186"/>
      <c r="L39" s="186"/>
      <c r="M39" s="186"/>
      <c r="N39" s="186"/>
      <c r="O39" s="186"/>
      <c r="P39" s="186"/>
    </row>
    <row r="40" spans="1:29" ht="23.1" customHeight="1">
      <c r="A40" s="186"/>
      <c r="B40" s="186"/>
      <c r="C40" s="186"/>
      <c r="D40" s="186"/>
      <c r="E40" s="186"/>
      <c r="F40" s="186"/>
      <c r="G40" s="186"/>
      <c r="H40" s="186"/>
      <c r="I40" s="186"/>
      <c r="J40" s="186"/>
      <c r="K40" s="186"/>
      <c r="L40" s="186"/>
      <c r="M40" s="186"/>
      <c r="N40" s="186"/>
      <c r="O40" s="186"/>
      <c r="P40" s="186"/>
    </row>
    <row r="41" spans="1:29" ht="23.1" customHeight="1">
      <c r="A41" s="186"/>
      <c r="B41" s="186"/>
      <c r="C41" s="186"/>
      <c r="D41" s="186"/>
      <c r="E41" s="186"/>
      <c r="F41" s="186"/>
      <c r="G41" s="186"/>
      <c r="H41" s="186"/>
      <c r="I41" s="186"/>
      <c r="J41" s="186"/>
      <c r="K41" s="186"/>
      <c r="L41" s="186"/>
      <c r="M41" s="186"/>
      <c r="N41" s="186"/>
      <c r="O41" s="186"/>
      <c r="P41" s="186"/>
    </row>
    <row r="42" spans="1:29" ht="23.1" customHeight="1">
      <c r="A42" s="186"/>
      <c r="B42" s="186"/>
      <c r="C42" s="186"/>
      <c r="D42" s="186"/>
      <c r="E42" s="186"/>
      <c r="F42" s="186"/>
      <c r="G42" s="186"/>
      <c r="H42" s="186"/>
      <c r="I42" s="186"/>
      <c r="J42" s="186"/>
      <c r="K42" s="186"/>
      <c r="L42" s="186"/>
      <c r="M42" s="186"/>
      <c r="N42" s="186"/>
      <c r="O42" s="186"/>
      <c r="P42" s="186"/>
    </row>
    <row r="43" spans="1:29" ht="23.1" customHeight="1">
      <c r="A43" s="185" t="s">
        <v>1205</v>
      </c>
      <c r="B43" s="207"/>
      <c r="C43" s="207"/>
      <c r="D43" s="207"/>
      <c r="E43" s="207"/>
      <c r="F43" s="207"/>
      <c r="G43" s="207"/>
      <c r="H43" s="207"/>
      <c r="I43" s="207"/>
      <c r="J43" s="207"/>
      <c r="K43" s="207"/>
      <c r="L43" s="2383" t="str">
        <f>$R$2&amp;"別紙6-4"&amp;$R$3</f>
        <v>加-25_4月申-別紙6-4-認_Ver.4.02</v>
      </c>
      <c r="M43" s="2383"/>
      <c r="N43" s="2383"/>
      <c r="O43" s="2383"/>
      <c r="P43" s="2383"/>
    </row>
    <row r="44" spans="1:29" ht="23.1" customHeight="1">
      <c r="A44" s="186"/>
      <c r="B44" s="186"/>
      <c r="C44" s="186"/>
      <c r="D44" s="186"/>
      <c r="E44" s="186"/>
      <c r="F44" s="186"/>
      <c r="G44" s="186"/>
      <c r="H44" s="186"/>
      <c r="I44" s="186"/>
      <c r="J44" s="186"/>
      <c r="K44" s="186"/>
      <c r="L44" s="2400">
        <f>DATE(【様式１】総括表・個票!AK2+1,3,1)</f>
        <v>46082</v>
      </c>
      <c r="M44" s="2400"/>
      <c r="N44" s="2400"/>
      <c r="O44" s="2400"/>
      <c r="P44" s="2400"/>
    </row>
    <row r="45" spans="1:29" ht="23.1" customHeight="1">
      <c r="A45" s="186"/>
      <c r="B45" s="186"/>
      <c r="C45" s="186"/>
      <c r="D45" s="186"/>
      <c r="E45" s="186"/>
      <c r="F45" s="186"/>
      <c r="G45" s="186"/>
      <c r="H45" s="186"/>
      <c r="I45" s="186"/>
      <c r="J45" s="186"/>
      <c r="K45" s="186"/>
      <c r="L45" s="960"/>
      <c r="M45" s="960"/>
      <c r="N45" s="960"/>
      <c r="O45" s="960"/>
      <c r="P45" s="960"/>
    </row>
    <row r="46" spans="1:29" ht="23.1" customHeight="1">
      <c r="A46" s="186"/>
      <c r="B46" s="186" t="s">
        <v>1206</v>
      </c>
      <c r="C46" s="186"/>
      <c r="D46" s="186"/>
      <c r="E46" s="186"/>
      <c r="F46" s="186"/>
      <c r="G46" s="186"/>
      <c r="H46" s="186"/>
      <c r="I46" s="186"/>
      <c r="J46" s="186"/>
      <c r="K46" s="186"/>
      <c r="L46" s="186"/>
      <c r="M46" s="186"/>
      <c r="N46" s="186"/>
      <c r="O46" s="186"/>
      <c r="P46" s="186"/>
    </row>
    <row r="47" spans="1:29" ht="23.1" customHeight="1">
      <c r="A47" s="186"/>
      <c r="B47" s="186"/>
      <c r="C47" s="186"/>
      <c r="D47" s="186"/>
      <c r="E47" s="186"/>
      <c r="F47" s="186"/>
      <c r="G47" s="186"/>
      <c r="H47" s="186"/>
      <c r="I47" s="186"/>
      <c r="J47" s="186"/>
      <c r="K47" s="186"/>
      <c r="L47" s="186"/>
      <c r="M47" s="186"/>
      <c r="N47" s="186"/>
      <c r="O47" s="186"/>
      <c r="P47" s="186"/>
    </row>
    <row r="48" spans="1:29" ht="23.1" customHeight="1">
      <c r="A48" s="186"/>
      <c r="B48" s="186"/>
      <c r="C48" s="186"/>
      <c r="D48" s="186"/>
      <c r="E48" s="186"/>
      <c r="F48" s="186"/>
      <c r="G48" s="186"/>
      <c r="H48" s="186"/>
      <c r="I48" s="2385" t="s">
        <v>703</v>
      </c>
      <c r="J48" s="186" t="s">
        <v>704</v>
      </c>
      <c r="K48" s="2386" t="str">
        <f>CONCATENATE(K6)</f>
        <v/>
      </c>
      <c r="L48" s="2386"/>
      <c r="M48" s="2386"/>
      <c r="N48" s="2386"/>
      <c r="O48" s="2386"/>
      <c r="P48" s="186"/>
    </row>
    <row r="49" spans="1:16" ht="23.1" customHeight="1">
      <c r="A49" s="186"/>
      <c r="B49" s="186"/>
      <c r="C49" s="186"/>
      <c r="D49" s="186"/>
      <c r="E49" s="186"/>
      <c r="F49" s="186"/>
      <c r="G49" s="186"/>
      <c r="H49" s="186"/>
      <c r="I49" s="2385"/>
      <c r="J49" s="186" t="s">
        <v>705</v>
      </c>
      <c r="K49" s="2387" t="str">
        <f>CONCATENATE(K7)</f>
        <v/>
      </c>
      <c r="L49" s="2387"/>
      <c r="M49" s="2387"/>
      <c r="N49" s="2387"/>
      <c r="O49" s="2387"/>
      <c r="P49" s="186"/>
    </row>
    <row r="50" spans="1:16" ht="23.1" customHeight="1">
      <c r="A50" s="186"/>
      <c r="B50" s="186"/>
      <c r="C50" s="186"/>
      <c r="D50" s="186"/>
      <c r="E50" s="186"/>
      <c r="F50" s="186"/>
      <c r="G50" s="186"/>
      <c r="H50" s="186"/>
      <c r="I50" s="186"/>
      <c r="J50" s="186"/>
      <c r="K50" s="186"/>
      <c r="L50" s="186"/>
      <c r="M50" s="186"/>
      <c r="N50" s="186"/>
      <c r="O50" s="959"/>
      <c r="P50" s="186"/>
    </row>
    <row r="51" spans="1:16" ht="23.1" customHeight="1">
      <c r="A51" s="186"/>
      <c r="B51" s="186"/>
      <c r="C51" s="186"/>
      <c r="D51" s="186"/>
      <c r="E51" s="186"/>
      <c r="F51" s="186"/>
      <c r="G51" s="186"/>
      <c r="H51" s="186"/>
      <c r="I51" s="186"/>
      <c r="J51" s="186"/>
      <c r="K51" s="186"/>
      <c r="L51" s="186"/>
      <c r="M51" s="186"/>
      <c r="N51" s="186"/>
      <c r="O51" s="186"/>
      <c r="P51" s="186"/>
    </row>
    <row r="52" spans="1:16" ht="23.1" customHeight="1">
      <c r="A52" s="186"/>
      <c r="B52" s="186"/>
      <c r="C52" s="186"/>
      <c r="D52" s="2421" t="s">
        <v>716</v>
      </c>
      <c r="E52" s="2421"/>
      <c r="F52" s="2421"/>
      <c r="G52" s="2421"/>
      <c r="H52" s="2421"/>
      <c r="I52" s="2421"/>
      <c r="J52" s="2421"/>
      <c r="K52" s="2421"/>
      <c r="L52" s="2421"/>
      <c r="M52" s="2421"/>
      <c r="N52" s="186"/>
      <c r="O52" s="186"/>
      <c r="P52" s="186"/>
    </row>
    <row r="53" spans="1:16" ht="23.1" customHeight="1">
      <c r="A53" s="186"/>
      <c r="B53" s="186"/>
      <c r="C53" s="186"/>
      <c r="D53" s="186"/>
      <c r="E53" s="186"/>
      <c r="F53" s="186"/>
      <c r="G53" s="186"/>
      <c r="H53" s="186"/>
      <c r="I53" s="186"/>
      <c r="J53" s="186"/>
      <c r="K53" s="186"/>
      <c r="L53" s="186"/>
      <c r="M53" s="186"/>
      <c r="N53" s="186"/>
      <c r="O53" s="186"/>
      <c r="P53" s="186"/>
    </row>
    <row r="54" spans="1:16" ht="23.1" customHeight="1">
      <c r="A54" s="2389" t="str">
        <f>"　保育の提供について、２年度間常に２・３号認定こどもの利用定員を超えており、かつ、年間平均在所率が120%以上の状態にありましたが、"&amp;【様式１】総括表・個票!AK2&amp;"年度の実績について下記のとおりとなっておりますので報告いたします。"</f>
        <v>　保育の提供について、２年度間常に２・３号認定こどもの利用定員を超えており、かつ、年間平均在所率が120%以上の状態にありましたが、2025年度の実績について下記のとおりとなっておりますので報告いたします。</v>
      </c>
      <c r="B54" s="2389"/>
      <c r="C54" s="2389"/>
      <c r="D54" s="2389"/>
      <c r="E54" s="2389"/>
      <c r="F54" s="2389"/>
      <c r="G54" s="2389"/>
      <c r="H54" s="2389"/>
      <c r="I54" s="2389"/>
      <c r="J54" s="2389"/>
      <c r="K54" s="2389"/>
      <c r="L54" s="2389"/>
      <c r="M54" s="2389"/>
      <c r="N54" s="2389"/>
      <c r="O54" s="2389"/>
      <c r="P54" s="2389"/>
    </row>
    <row r="55" spans="1:16" ht="23.1" customHeight="1">
      <c r="A55" s="2389"/>
      <c r="B55" s="2389"/>
      <c r="C55" s="2389"/>
      <c r="D55" s="2389"/>
      <c r="E55" s="2389"/>
      <c r="F55" s="2389"/>
      <c r="G55" s="2389"/>
      <c r="H55" s="2389"/>
      <c r="I55" s="2389"/>
      <c r="J55" s="2389"/>
      <c r="K55" s="2389"/>
      <c r="L55" s="2389"/>
      <c r="M55" s="2389"/>
      <c r="N55" s="2389"/>
      <c r="O55" s="2389"/>
      <c r="P55" s="2389"/>
    </row>
    <row r="56" spans="1:16" ht="23.1" customHeight="1">
      <c r="A56" s="2389"/>
      <c r="B56" s="2389"/>
      <c r="C56" s="2389"/>
      <c r="D56" s="2389"/>
      <c r="E56" s="2389"/>
      <c r="F56" s="2389"/>
      <c r="G56" s="2389"/>
      <c r="H56" s="2389"/>
      <c r="I56" s="2389"/>
      <c r="J56" s="2389"/>
      <c r="K56" s="2389"/>
      <c r="L56" s="2389"/>
      <c r="M56" s="2389"/>
      <c r="N56" s="2389"/>
      <c r="O56" s="2389"/>
      <c r="P56" s="2389"/>
    </row>
    <row r="57" spans="1:16" ht="23.1" customHeight="1">
      <c r="A57" s="2389"/>
      <c r="B57" s="2389"/>
      <c r="C57" s="2389"/>
      <c r="D57" s="2389"/>
      <c r="E57" s="2389"/>
      <c r="F57" s="2389"/>
      <c r="G57" s="2389"/>
      <c r="H57" s="2389"/>
      <c r="I57" s="2389"/>
      <c r="J57" s="2389"/>
      <c r="K57" s="2389"/>
      <c r="L57" s="2389"/>
      <c r="M57" s="2389"/>
      <c r="N57" s="2389"/>
      <c r="O57" s="2389"/>
      <c r="P57" s="2389"/>
    </row>
    <row r="58" spans="1:16" ht="23.1" customHeight="1">
      <c r="A58" s="186"/>
      <c r="B58" s="186"/>
      <c r="C58" s="186"/>
      <c r="D58" s="186"/>
      <c r="E58" s="186"/>
      <c r="F58" s="186"/>
      <c r="G58" s="186"/>
      <c r="H58" s="186"/>
      <c r="I58" s="186"/>
      <c r="J58" s="186"/>
      <c r="K58" s="186"/>
      <c r="L58" s="186"/>
      <c r="M58" s="186"/>
      <c r="N58" s="186"/>
      <c r="O58" s="186"/>
      <c r="P58" s="186"/>
    </row>
    <row r="59" spans="1:16" ht="23.1" customHeight="1">
      <c r="A59" s="2391" t="s">
        <v>708</v>
      </c>
      <c r="B59" s="2391"/>
      <c r="C59" s="2391"/>
      <c r="D59" s="2391"/>
      <c r="E59" s="2391"/>
      <c r="F59" s="186"/>
      <c r="G59" s="186"/>
      <c r="H59" s="186"/>
      <c r="I59" s="186"/>
      <c r="J59" s="186"/>
      <c r="K59" s="186"/>
      <c r="L59" s="186"/>
      <c r="M59" s="186"/>
      <c r="N59" s="186"/>
      <c r="O59" s="186"/>
      <c r="P59" s="186"/>
    </row>
    <row r="60" spans="1:16" ht="23.1" customHeight="1">
      <c r="A60" s="186"/>
      <c r="B60" s="2392">
        <f>B19</f>
        <v>0</v>
      </c>
      <c r="C60" s="2392"/>
      <c r="D60" s="2392"/>
      <c r="E60" s="2392"/>
      <c r="F60" s="2392"/>
      <c r="G60" s="2392"/>
      <c r="H60" s="186"/>
      <c r="I60" s="186"/>
      <c r="J60" s="186"/>
      <c r="K60" s="186"/>
      <c r="L60" s="186"/>
      <c r="M60" s="186"/>
      <c r="N60" s="186"/>
      <c r="O60" s="186"/>
      <c r="P60" s="186"/>
    </row>
    <row r="61" spans="1:16" ht="23.1" customHeight="1">
      <c r="A61" s="186"/>
      <c r="B61" s="186"/>
      <c r="C61" s="186"/>
      <c r="D61" s="186"/>
      <c r="E61" s="186"/>
      <c r="F61" s="186"/>
      <c r="G61" s="186"/>
      <c r="H61" s="186"/>
      <c r="I61" s="186"/>
      <c r="J61" s="186"/>
      <c r="K61" s="186"/>
      <c r="L61" s="186"/>
      <c r="M61" s="186"/>
      <c r="N61" s="186"/>
      <c r="O61" s="186"/>
      <c r="P61" s="186"/>
    </row>
    <row r="62" spans="1:16" ht="23.1" customHeight="1">
      <c r="A62" s="2391" t="s">
        <v>1192</v>
      </c>
      <c r="B62" s="2391"/>
      <c r="C62" s="2391"/>
      <c r="D62" s="2391"/>
      <c r="E62" s="2391"/>
      <c r="F62" s="186"/>
      <c r="G62" s="186"/>
      <c r="H62" s="186"/>
      <c r="I62" s="186"/>
      <c r="J62" s="186"/>
      <c r="K62" s="186"/>
      <c r="L62" s="186"/>
      <c r="M62" s="186"/>
      <c r="N62" s="186"/>
      <c r="O62" s="186"/>
      <c r="P62" s="186"/>
    </row>
    <row r="63" spans="1:16" ht="23.1" customHeight="1">
      <c r="A63" s="186"/>
      <c r="B63" s="2381" t="str">
        <f>CONCATENATE(B22)</f>
        <v/>
      </c>
      <c r="C63" s="2381"/>
      <c r="D63" s="2381"/>
      <c r="E63" s="2381"/>
      <c r="F63" s="2381"/>
      <c r="G63" s="2381"/>
      <c r="H63" s="186"/>
      <c r="I63" s="186"/>
      <c r="J63" s="186"/>
      <c r="K63" s="186"/>
      <c r="L63" s="186"/>
      <c r="M63" s="186"/>
      <c r="N63" s="186"/>
      <c r="O63" s="186"/>
      <c r="P63" s="186"/>
    </row>
    <row r="64" spans="1:16" ht="23.1" customHeight="1">
      <c r="A64" s="186"/>
      <c r="B64" s="186"/>
      <c r="C64" s="186"/>
      <c r="D64" s="186"/>
      <c r="E64" s="186"/>
      <c r="F64" s="186"/>
      <c r="G64" s="186"/>
      <c r="H64" s="186"/>
      <c r="I64" s="186"/>
      <c r="J64" s="186"/>
      <c r="K64" s="186"/>
      <c r="L64" s="186"/>
      <c r="M64" s="186"/>
      <c r="N64" s="186"/>
      <c r="O64" s="186"/>
      <c r="P64" s="186"/>
    </row>
    <row r="65" spans="1:29" ht="23.1" customHeight="1">
      <c r="A65" s="186"/>
      <c r="B65" s="186" t="s">
        <v>709</v>
      </c>
      <c r="C65" s="186"/>
      <c r="D65" s="186"/>
      <c r="E65" s="186"/>
      <c r="F65" s="186"/>
      <c r="G65" s="186"/>
      <c r="H65" s="186"/>
      <c r="I65" s="186"/>
      <c r="J65" s="186"/>
      <c r="K65" s="186"/>
      <c r="L65" s="186"/>
      <c r="M65" s="186"/>
      <c r="N65" s="186"/>
      <c r="O65" s="186"/>
      <c r="P65" s="186"/>
      <c r="R65" s="957" t="str">
        <f>IF(B63&lt;&gt;"","○","")</f>
        <v/>
      </c>
    </row>
    <row r="66" spans="1:29" ht="23.1" customHeight="1">
      <c r="A66" s="186"/>
      <c r="B66" s="2385" t="str">
        <f>IF($R$65="○","見直し前","定員")</f>
        <v>定員</v>
      </c>
      <c r="C66" s="2385"/>
      <c r="D66" s="2396">
        <f>D25</f>
        <v>0</v>
      </c>
      <c r="E66" s="2396"/>
      <c r="F66" s="186" t="s">
        <v>344</v>
      </c>
      <c r="G66" s="186"/>
      <c r="H66" s="186"/>
      <c r="I66" s="186"/>
      <c r="J66" s="186"/>
      <c r="K66" s="186"/>
      <c r="L66" s="186"/>
      <c r="M66" s="186"/>
      <c r="N66" s="186"/>
      <c r="O66" s="186"/>
      <c r="P66" s="186"/>
    </row>
    <row r="67" spans="1:29" ht="23.1" customHeight="1">
      <c r="A67" s="186"/>
      <c r="B67" s="2385" t="str">
        <f>IF($R$65="○","見直し後","")</f>
        <v/>
      </c>
      <c r="C67" s="2385"/>
      <c r="D67" s="2396">
        <f>D26</f>
        <v>0</v>
      </c>
      <c r="E67" s="2396"/>
      <c r="F67" s="186" t="str">
        <f>IF($R$65="○","人","")</f>
        <v/>
      </c>
      <c r="G67" s="2385" t="str">
        <f>IF($R$65="○","（見直した月","")</f>
        <v/>
      </c>
      <c r="H67" s="2385"/>
      <c r="I67" s="2385"/>
      <c r="J67" s="2396">
        <f>J26</f>
        <v>0</v>
      </c>
      <c r="K67" s="2396"/>
      <c r="L67" s="186" t="str">
        <f>IF($R$65="○","月）","")</f>
        <v/>
      </c>
      <c r="M67" s="186"/>
      <c r="N67" s="186"/>
      <c r="O67" s="186"/>
      <c r="P67" s="186"/>
    </row>
    <row r="68" spans="1:29" ht="23.1" customHeight="1">
      <c r="A68" s="186"/>
      <c r="B68" s="186"/>
      <c r="C68" s="186"/>
      <c r="D68" s="186"/>
      <c r="E68" s="186"/>
      <c r="F68" s="186"/>
      <c r="G68" s="186"/>
      <c r="H68" s="186"/>
      <c r="I68" s="186"/>
      <c r="J68" s="186"/>
      <c r="K68" s="186"/>
      <c r="L68" s="186"/>
      <c r="M68" s="186"/>
      <c r="N68" s="186"/>
      <c r="O68" s="186"/>
      <c r="P68" s="186"/>
      <c r="R68" s="188">
        <f>D66</f>
        <v>0</v>
      </c>
    </row>
    <row r="69" spans="1:29" ht="23.1" customHeight="1">
      <c r="A69" s="186"/>
      <c r="B69" s="186" t="s">
        <v>717</v>
      </c>
      <c r="C69" s="186"/>
      <c r="D69" s="186"/>
      <c r="E69" s="186"/>
      <c r="F69" s="186"/>
      <c r="G69" s="186"/>
      <c r="H69" s="186"/>
      <c r="I69" s="186"/>
      <c r="J69" s="186"/>
      <c r="K69" s="186"/>
      <c r="L69" s="186"/>
      <c r="M69" s="186"/>
      <c r="N69" s="186"/>
      <c r="O69" s="186"/>
      <c r="P69" s="186"/>
      <c r="R69" s="188">
        <f>IF(D67="",R68,D67)</f>
        <v>0</v>
      </c>
      <c r="S69" s="189">
        <f>IF(OR(J67="",J67=0),12,IF(J67&gt;=4,J67-3,J67+9))</f>
        <v>12</v>
      </c>
    </row>
    <row r="70" spans="1:29" ht="23.1" customHeight="1">
      <c r="A70" s="186"/>
      <c r="B70" s="186" t="s">
        <v>718</v>
      </c>
      <c r="C70" s="186"/>
      <c r="D70" s="186"/>
      <c r="E70" s="186"/>
      <c r="F70" s="186"/>
      <c r="G70" s="186"/>
      <c r="H70" s="186"/>
      <c r="I70" s="186"/>
      <c r="J70" s="186"/>
      <c r="K70" s="186"/>
      <c r="L70" s="186"/>
      <c r="M70" s="186"/>
      <c r="N70" s="186"/>
      <c r="O70" s="186"/>
      <c r="P70" s="186"/>
    </row>
    <row r="71" spans="1:29" ht="23.1" customHeight="1" thickBot="1">
      <c r="A71" s="186"/>
      <c r="B71" s="186" t="e">
        <f>IF(AND($D$76&gt;1.2,$P$75&lt;&gt;0),"　また、年間平均在所率が120%以上となっていたため減算適用いたします。","　なお、年間平均在所率は120%以上ではありませんでした。")</f>
        <v>#DIV/0!</v>
      </c>
      <c r="C71" s="186"/>
      <c r="D71" s="186"/>
      <c r="E71" s="186"/>
      <c r="F71" s="186"/>
      <c r="G71" s="186"/>
      <c r="H71" s="186"/>
      <c r="I71" s="186"/>
      <c r="J71" s="186"/>
      <c r="K71" s="186"/>
      <c r="L71" s="186"/>
      <c r="M71" s="186"/>
      <c r="N71" s="186"/>
      <c r="O71" s="186"/>
      <c r="P71" s="186"/>
    </row>
    <row r="72" spans="1:29" ht="23.1" customHeight="1">
      <c r="A72" s="186"/>
      <c r="B72" s="2398" t="s">
        <v>1203</v>
      </c>
      <c r="C72" s="2398"/>
      <c r="D72" s="190" t="s">
        <v>53</v>
      </c>
      <c r="E72" s="191" t="s">
        <v>54</v>
      </c>
      <c r="F72" s="191" t="s">
        <v>55</v>
      </c>
      <c r="G72" s="191" t="s">
        <v>56</v>
      </c>
      <c r="H72" s="191" t="s">
        <v>57</v>
      </c>
      <c r="I72" s="191" t="s">
        <v>58</v>
      </c>
      <c r="J72" s="191" t="s">
        <v>59</v>
      </c>
      <c r="K72" s="191" t="s">
        <v>60</v>
      </c>
      <c r="L72" s="191" t="s">
        <v>61</v>
      </c>
      <c r="M72" s="191" t="s">
        <v>62</v>
      </c>
      <c r="N72" s="191" t="s">
        <v>63</v>
      </c>
      <c r="O72" s="192" t="s">
        <v>64</v>
      </c>
      <c r="P72" s="193" t="s">
        <v>15</v>
      </c>
    </row>
    <row r="73" spans="1:29" ht="23.1" customHeight="1">
      <c r="A73" s="186"/>
      <c r="B73" s="2393" t="s">
        <v>712</v>
      </c>
      <c r="C73" s="2393"/>
      <c r="D73" s="194">
        <f>IF($S$69&gt;R74,$R$68,$R$69)</f>
        <v>0</v>
      </c>
      <c r="E73" s="195">
        <f t="shared" ref="E73:O73" si="3">IF($S$69&gt;S74,$R$68,$R$69)</f>
        <v>0</v>
      </c>
      <c r="F73" s="195">
        <f t="shared" si="3"/>
        <v>0</v>
      </c>
      <c r="G73" s="195">
        <f t="shared" si="3"/>
        <v>0</v>
      </c>
      <c r="H73" s="195">
        <f t="shared" si="3"/>
        <v>0</v>
      </c>
      <c r="I73" s="195">
        <f t="shared" si="3"/>
        <v>0</v>
      </c>
      <c r="J73" s="195">
        <f t="shared" si="3"/>
        <v>0</v>
      </c>
      <c r="K73" s="195">
        <f t="shared" si="3"/>
        <v>0</v>
      </c>
      <c r="L73" s="195">
        <f t="shared" si="3"/>
        <v>0</v>
      </c>
      <c r="M73" s="195">
        <f t="shared" si="3"/>
        <v>0</v>
      </c>
      <c r="N73" s="195">
        <f t="shared" si="3"/>
        <v>0</v>
      </c>
      <c r="O73" s="196">
        <f t="shared" si="3"/>
        <v>0</v>
      </c>
      <c r="P73" s="197">
        <f>SUM(D73:O73)</f>
        <v>0</v>
      </c>
      <c r="R73" s="958" t="s">
        <v>53</v>
      </c>
      <c r="S73" s="958" t="s">
        <v>54</v>
      </c>
      <c r="T73" s="958" t="s">
        <v>55</v>
      </c>
      <c r="U73" s="958" t="s">
        <v>56</v>
      </c>
      <c r="V73" s="958" t="s">
        <v>57</v>
      </c>
      <c r="W73" s="958" t="s">
        <v>58</v>
      </c>
      <c r="X73" s="958" t="s">
        <v>59</v>
      </c>
      <c r="Y73" s="958" t="s">
        <v>60</v>
      </c>
      <c r="Z73" s="958" t="s">
        <v>61</v>
      </c>
      <c r="AA73" s="958" t="s">
        <v>62</v>
      </c>
      <c r="AB73" s="958" t="s">
        <v>63</v>
      </c>
      <c r="AC73" s="958" t="s">
        <v>64</v>
      </c>
    </row>
    <row r="74" spans="1:29" ht="23.1" customHeight="1">
      <c r="A74" s="186"/>
      <c r="B74" s="2394" t="s">
        <v>713</v>
      </c>
      <c r="C74" s="2394"/>
      <c r="D74" s="198"/>
      <c r="E74" s="199"/>
      <c r="F74" s="199"/>
      <c r="G74" s="199"/>
      <c r="H74" s="199"/>
      <c r="I74" s="199"/>
      <c r="J74" s="199"/>
      <c r="K74" s="199"/>
      <c r="L74" s="199"/>
      <c r="M74" s="199"/>
      <c r="N74" s="199"/>
      <c r="O74" s="200"/>
      <c r="P74" s="201">
        <f>SUM(D74:O74)</f>
        <v>0</v>
      </c>
      <c r="R74" s="188">
        <v>1</v>
      </c>
      <c r="S74" s="188">
        <v>2</v>
      </c>
      <c r="T74" s="188">
        <v>3</v>
      </c>
      <c r="U74" s="188">
        <v>4</v>
      </c>
      <c r="V74" s="188">
        <v>5</v>
      </c>
      <c r="W74" s="188">
        <v>6</v>
      </c>
      <c r="X74" s="188">
        <v>7</v>
      </c>
      <c r="Y74" s="188">
        <v>8</v>
      </c>
      <c r="Z74" s="188">
        <v>9</v>
      </c>
      <c r="AA74" s="188">
        <v>10</v>
      </c>
      <c r="AB74" s="188">
        <v>11</v>
      </c>
      <c r="AC74" s="188">
        <v>12</v>
      </c>
    </row>
    <row r="75" spans="1:29" ht="23.1" customHeight="1" thickBot="1">
      <c r="A75" s="186"/>
      <c r="B75" s="2394" t="s">
        <v>714</v>
      </c>
      <c r="C75" s="2394"/>
      <c r="D75" s="202" t="str">
        <f>IF(D74="","未入力",IF(D74&gt;D73,"○","×"))</f>
        <v>未入力</v>
      </c>
      <c r="E75" s="203" t="str">
        <f t="shared" ref="E75:O75" si="4">IF(E74="","未入力",IF(E74&gt;E73,"○","×"))</f>
        <v>未入力</v>
      </c>
      <c r="F75" s="204" t="str">
        <f t="shared" si="4"/>
        <v>未入力</v>
      </c>
      <c r="G75" s="204" t="str">
        <f t="shared" si="4"/>
        <v>未入力</v>
      </c>
      <c r="H75" s="204" t="str">
        <f t="shared" si="4"/>
        <v>未入力</v>
      </c>
      <c r="I75" s="204" t="str">
        <f t="shared" si="4"/>
        <v>未入力</v>
      </c>
      <c r="J75" s="204" t="str">
        <f t="shared" si="4"/>
        <v>未入力</v>
      </c>
      <c r="K75" s="204" t="str">
        <f t="shared" si="4"/>
        <v>未入力</v>
      </c>
      <c r="L75" s="204" t="str">
        <f t="shared" si="4"/>
        <v>未入力</v>
      </c>
      <c r="M75" s="204" t="str">
        <f t="shared" si="4"/>
        <v>未入力</v>
      </c>
      <c r="N75" s="204" t="str">
        <f t="shared" si="4"/>
        <v>未入力</v>
      </c>
      <c r="O75" s="205" t="str">
        <f t="shared" si="4"/>
        <v>未入力</v>
      </c>
      <c r="P75" s="206" t="e">
        <f>SUM(R77:AC77)</f>
        <v>#DIV/0!</v>
      </c>
    </row>
    <row r="76" spans="1:29" ht="23.1" customHeight="1" thickBot="1">
      <c r="A76" s="186"/>
      <c r="B76" s="2417" t="s">
        <v>715</v>
      </c>
      <c r="C76" s="2418"/>
      <c r="D76" s="2419" t="e">
        <f>ROUNDDOWN(P74/P73,2)</f>
        <v>#DIV/0!</v>
      </c>
      <c r="E76" s="2420"/>
      <c r="F76" s="186"/>
      <c r="G76" s="186"/>
      <c r="H76" s="186"/>
      <c r="I76" s="186"/>
      <c r="J76" s="186"/>
      <c r="K76" s="186"/>
      <c r="L76" s="186"/>
      <c r="M76" s="186"/>
      <c r="N76" s="186"/>
      <c r="O76" s="186"/>
      <c r="P76" s="186"/>
      <c r="R76" s="2399" t="s">
        <v>94</v>
      </c>
      <c r="S76" s="2399"/>
      <c r="T76" s="2399"/>
      <c r="U76" s="2399"/>
      <c r="V76" s="2399"/>
      <c r="W76" s="2399"/>
      <c r="X76" s="2399"/>
      <c r="Y76" s="2399"/>
      <c r="Z76" s="2399"/>
      <c r="AA76" s="2399"/>
      <c r="AB76" s="2399"/>
      <c r="AC76" s="2399"/>
    </row>
    <row r="77" spans="1:29" ht="23.1" customHeight="1">
      <c r="A77" s="186"/>
      <c r="B77" s="186"/>
      <c r="C77" s="186"/>
      <c r="D77" s="186"/>
      <c r="E77" s="186"/>
      <c r="F77" s="186"/>
      <c r="G77" s="186"/>
      <c r="H77" s="186"/>
      <c r="I77" s="186"/>
      <c r="J77" s="186"/>
      <c r="K77" s="186"/>
      <c r="L77" s="186"/>
      <c r="M77" s="186"/>
      <c r="N77" s="186"/>
      <c r="O77" s="186"/>
      <c r="P77" s="186"/>
      <c r="R77" s="957" t="e">
        <f>IF($D$76&gt;1.2,IF(COUNTIF($D75:D75,"○")=R74,1,0),0)</f>
        <v>#DIV/0!</v>
      </c>
      <c r="S77" s="957" t="e">
        <f>IF($D$76&gt;1.2,IF(COUNTIF($D75:E75,"○")=S74,1,0),0)</f>
        <v>#DIV/0!</v>
      </c>
      <c r="T77" s="957" t="e">
        <f>IF($D$76&gt;1.2,IF(COUNTIF($D75:F75,"○")=T74,1,0),0)</f>
        <v>#DIV/0!</v>
      </c>
      <c r="U77" s="957" t="e">
        <f>IF($D$76&gt;1.2,IF(COUNTIF($D75:G75,"○")=U74,1,0),0)</f>
        <v>#DIV/0!</v>
      </c>
      <c r="V77" s="957" t="e">
        <f>IF($D$76&gt;1.2,IF(COUNTIF($D75:H75,"○")=V74,1,0),0)</f>
        <v>#DIV/0!</v>
      </c>
      <c r="W77" s="957" t="e">
        <f>IF($D$76&gt;1.2,IF(COUNTIF($D75:I75,"○")=W74,1,0),0)</f>
        <v>#DIV/0!</v>
      </c>
      <c r="X77" s="957" t="e">
        <f>IF($D$76&gt;1.2,IF(COUNTIF($D75:J75,"○")=X74,1,0),0)</f>
        <v>#DIV/0!</v>
      </c>
      <c r="Y77" s="957" t="e">
        <f>IF($D$76&gt;1.2,IF(COUNTIF($D75:K75,"○")=Y74,1,0),0)</f>
        <v>#DIV/0!</v>
      </c>
      <c r="Z77" s="957" t="e">
        <f>IF($D$76&gt;1.2,IF(COUNTIF($D75:L75,"○")=Z74,1,0),0)</f>
        <v>#DIV/0!</v>
      </c>
      <c r="AA77" s="957" t="e">
        <f>IF($D$76&gt;1.2,IF(COUNTIF($D75:M75,"○")=AA74,1,0),0)</f>
        <v>#DIV/0!</v>
      </c>
      <c r="AB77" s="957" t="e">
        <f>IF($D$76&gt;1.2,IF(COUNTIF($D75:N75,"○")=AB74,1,0),0)</f>
        <v>#DIV/0!</v>
      </c>
      <c r="AC77" s="957" t="e">
        <f>IF($D$76&gt;1.2,IF(COUNTIF($D75:O75,"○")=AC74,1,0),0)</f>
        <v>#DIV/0!</v>
      </c>
    </row>
    <row r="78" spans="1:29" ht="23.1" customHeight="1">
      <c r="A78" s="186"/>
      <c r="B78" s="2416" t="e">
        <f>IF(AND($D$76&gt;=1.2,$P$75&lt;&gt;0),"　減算遡及適用：4　月　～　"&amp;IF(P75&gt;9,P75-9,P75+3)&amp;"　月","")</f>
        <v>#DIV/0!</v>
      </c>
      <c r="C78" s="2416"/>
      <c r="D78" s="2416"/>
      <c r="E78" s="2416"/>
      <c r="F78" s="2416"/>
      <c r="G78" s="2416"/>
      <c r="H78" s="2416"/>
      <c r="I78" s="2416"/>
      <c r="J78" s="186"/>
      <c r="K78" s="186"/>
      <c r="L78" s="186"/>
      <c r="M78" s="186"/>
      <c r="N78" s="186"/>
      <c r="O78" s="186"/>
      <c r="P78" s="186"/>
    </row>
    <row r="79" spans="1:29" ht="23.1" customHeight="1">
      <c r="A79" s="186"/>
      <c r="B79" s="207"/>
      <c r="C79" s="207"/>
      <c r="D79" s="207"/>
      <c r="E79" s="207"/>
      <c r="F79" s="207"/>
      <c r="G79" s="207"/>
      <c r="H79" s="207"/>
      <c r="I79" s="186"/>
      <c r="J79" s="186"/>
      <c r="K79" s="186"/>
      <c r="L79" s="186"/>
      <c r="M79" s="186"/>
      <c r="N79" s="186"/>
      <c r="O79" s="186"/>
      <c r="P79" s="186"/>
    </row>
    <row r="80" spans="1:29" ht="23.1" customHeight="1">
      <c r="A80" s="186"/>
      <c r="B80" s="186"/>
      <c r="C80" s="186"/>
      <c r="D80" s="186"/>
      <c r="E80" s="186"/>
      <c r="F80" s="186"/>
      <c r="G80" s="186"/>
      <c r="H80" s="186"/>
      <c r="I80" s="186"/>
      <c r="J80" s="186"/>
      <c r="K80" s="186"/>
      <c r="L80" s="186"/>
      <c r="M80" s="186"/>
      <c r="N80" s="186"/>
      <c r="O80" s="186"/>
      <c r="P80" s="186"/>
    </row>
    <row r="81" spans="1:16" ht="23.1" customHeight="1">
      <c r="A81" s="186"/>
      <c r="B81" s="186"/>
      <c r="C81" s="186"/>
      <c r="D81" s="186"/>
      <c r="E81" s="186"/>
      <c r="F81" s="186"/>
      <c r="G81" s="186"/>
      <c r="H81" s="186"/>
      <c r="I81" s="186"/>
      <c r="J81" s="186"/>
      <c r="K81" s="186"/>
      <c r="L81" s="186"/>
      <c r="M81" s="186"/>
      <c r="N81" s="186"/>
      <c r="O81" s="186"/>
      <c r="P81" s="186"/>
    </row>
    <row r="82" spans="1:16" ht="23.1" customHeight="1">
      <c r="A82" s="186"/>
      <c r="B82" s="186"/>
      <c r="C82" s="186"/>
      <c r="D82" s="186"/>
      <c r="E82" s="186"/>
      <c r="F82" s="186"/>
      <c r="G82" s="186"/>
      <c r="H82" s="186"/>
      <c r="I82" s="186"/>
      <c r="J82" s="186"/>
      <c r="K82" s="186"/>
      <c r="L82" s="186"/>
      <c r="M82" s="186"/>
      <c r="N82" s="186"/>
      <c r="O82" s="186"/>
      <c r="P82" s="186"/>
    </row>
    <row r="83" spans="1:16" ht="23.1" customHeight="1">
      <c r="A83" s="186"/>
      <c r="B83" s="186"/>
      <c r="C83" s="186"/>
      <c r="D83" s="186"/>
      <c r="E83" s="186"/>
      <c r="F83" s="186"/>
      <c r="G83" s="186"/>
      <c r="H83" s="186"/>
      <c r="I83" s="186"/>
      <c r="J83" s="186"/>
      <c r="K83" s="186"/>
      <c r="L83" s="186"/>
      <c r="M83" s="186"/>
      <c r="N83" s="186"/>
      <c r="O83" s="186"/>
      <c r="P83" s="186"/>
    </row>
  </sheetData>
  <sheetProtection algorithmName="SHA-512" hashValue="+/z2MtPOYdGONgojKzEBV453WrKlzZOMNaXCJgbJaV5/IPmB7kEtv7AYTqegJFRAIkVS269yhnneDlo3s2gtgQ==" saltValue="u/RfyhvrqKA6j3zPE3CIeg==" spinCount="100000" sheet="1" objects="1" scenarios="1"/>
  <mergeCells count="57">
    <mergeCell ref="J67:K67"/>
    <mergeCell ref="D52:M52"/>
    <mergeCell ref="A54:P57"/>
    <mergeCell ref="A59:E59"/>
    <mergeCell ref="B60:G60"/>
    <mergeCell ref="A62:E62"/>
    <mergeCell ref="B63:G63"/>
    <mergeCell ref="B66:C66"/>
    <mergeCell ref="D66:E66"/>
    <mergeCell ref="B67:C67"/>
    <mergeCell ref="D67:E67"/>
    <mergeCell ref="G67:I67"/>
    <mergeCell ref="R76:AC76"/>
    <mergeCell ref="B78:I78"/>
    <mergeCell ref="B72:C72"/>
    <mergeCell ref="B73:C73"/>
    <mergeCell ref="B74:C74"/>
    <mergeCell ref="B75:C75"/>
    <mergeCell ref="B76:C76"/>
    <mergeCell ref="D76:E76"/>
    <mergeCell ref="F35:I36"/>
    <mergeCell ref="J35:K36"/>
    <mergeCell ref="L35:M36"/>
    <mergeCell ref="N35:P36"/>
    <mergeCell ref="B39:C39"/>
    <mergeCell ref="D39:E39"/>
    <mergeCell ref="B35:C36"/>
    <mergeCell ref="D35:E36"/>
    <mergeCell ref="L43:P43"/>
    <mergeCell ref="L44:P44"/>
    <mergeCell ref="I48:I49"/>
    <mergeCell ref="K48:O48"/>
    <mergeCell ref="K49:O49"/>
    <mergeCell ref="B25:C25"/>
    <mergeCell ref="D25:E25"/>
    <mergeCell ref="B26:C26"/>
    <mergeCell ref="D26:E26"/>
    <mergeCell ref="R34:AC34"/>
    <mergeCell ref="B32:C32"/>
    <mergeCell ref="B33:C33"/>
    <mergeCell ref="B34:C34"/>
    <mergeCell ref="B31:C31"/>
    <mergeCell ref="G26:I26"/>
    <mergeCell ref="J26:K26"/>
    <mergeCell ref="D10:M10"/>
    <mergeCell ref="L1:P1"/>
    <mergeCell ref="L2:P2"/>
    <mergeCell ref="I6:I7"/>
    <mergeCell ref="K6:O6"/>
    <mergeCell ref="K7:O7"/>
    <mergeCell ref="A1:K1"/>
    <mergeCell ref="B22:G22"/>
    <mergeCell ref="A12:P15"/>
    <mergeCell ref="A16:P16"/>
    <mergeCell ref="A18:E18"/>
    <mergeCell ref="B19:G19"/>
    <mergeCell ref="A21:E21"/>
  </mergeCells>
  <phoneticPr fontId="1"/>
  <conditionalFormatting sqref="D35">
    <cfRule type="cellIs" dxfId="60" priority="6" operator="greaterThan">
      <formula>1.2</formula>
    </cfRule>
  </conditionalFormatting>
  <conditionalFormatting sqref="D76:E76">
    <cfRule type="cellIs" dxfId="59" priority="3" operator="greaterThan">
      <formula>1.2</formula>
    </cfRule>
  </conditionalFormatting>
  <conditionalFormatting sqref="D34:O34">
    <cfRule type="containsText" dxfId="58" priority="7" operator="containsText" text="未入力">
      <formula>NOT(ISERROR(SEARCH("未入力",D34)))</formula>
    </cfRule>
  </conditionalFormatting>
  <conditionalFormatting sqref="D75:O75">
    <cfRule type="containsText" dxfId="57" priority="5" operator="containsText" text="未入力">
      <formula>NOT(ISERROR(SEARCH("未入力",D75)))</formula>
    </cfRule>
  </conditionalFormatting>
  <conditionalFormatting sqref="L35">
    <cfRule type="cellIs" dxfId="56" priority="1" operator="greaterThanOrEqual">
      <formula>1.15</formula>
    </cfRule>
  </conditionalFormatting>
  <conditionalFormatting sqref="P34">
    <cfRule type="containsText" dxfId="55" priority="2" operator="containsText" text="超過">
      <formula>NOT(ISERROR(SEARCH("超過",P34)))</formula>
    </cfRule>
  </conditionalFormatting>
  <conditionalFormatting sqref="P75">
    <cfRule type="containsText" dxfId="54" priority="4" operator="containsText" text="超過">
      <formula>NOT(ISERROR(SEARCH("超過",P75)))</formula>
    </cfRule>
  </conditionalFormatting>
  <dataValidations count="1">
    <dataValidation type="list" allowBlank="1" showInputMessage="1" showErrorMessage="1" sqref="J26:K26 J67:K67" xr:uid="{00000000-0002-0000-0B00-000000000000}">
      <formula1>$S$2:$S$13</formula1>
    </dataValidation>
  </dataValidations>
  <printOptions horizontalCentered="1"/>
  <pageMargins left="0.31496062992125984" right="0.31496062992125984" top="0.74803149606299213" bottom="0.74803149606299213" header="0.31496062992125984" footer="0.31496062992125984"/>
  <pageSetup paperSize="9" scale="73" orientation="portrait" r:id="rId1"/>
  <rowBreaks count="1" manualBreakCount="1">
    <brk id="4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00B0F0"/>
    <pageSetUpPr fitToPage="1"/>
  </sheetPr>
  <dimension ref="A1:V37"/>
  <sheetViews>
    <sheetView view="pageBreakPreview" zoomScale="90" zoomScaleNormal="100" zoomScaleSheetLayoutView="90" workbookViewId="0">
      <selection sqref="A1:F1"/>
    </sheetView>
  </sheetViews>
  <sheetFormatPr defaultColWidth="9" defaultRowHeight="13.5" outlineLevelCol="1"/>
  <cols>
    <col min="1" max="11" width="8.125" style="187" customWidth="1"/>
    <col min="12" max="12" width="12" style="187" customWidth="1"/>
    <col min="13" max="13" width="52.5" style="187" customWidth="1"/>
    <col min="14" max="14" width="9.5" style="187" hidden="1" customWidth="1" outlineLevel="1"/>
    <col min="15" max="21" width="9" style="187" hidden="1" customWidth="1" outlineLevel="1"/>
    <col min="22" max="22" width="9" style="187" collapsed="1"/>
    <col min="23" max="16384" width="9" style="187"/>
  </cols>
  <sheetData>
    <row r="1" spans="1:21" ht="23.1" customHeight="1">
      <c r="A1" s="2429" t="s">
        <v>1209</v>
      </c>
      <c r="B1" s="2429"/>
      <c r="C1" s="2429"/>
      <c r="D1" s="2429"/>
      <c r="E1" s="2429"/>
      <c r="F1" s="2429"/>
      <c r="G1" s="2422" t="str">
        <f>N2&amp;"別紙7"&amp;N3</f>
        <v>加-25_4月申-別紙7-認_Ver.4.02</v>
      </c>
      <c r="H1" s="2422"/>
      <c r="I1" s="2422"/>
      <c r="J1" s="2422"/>
      <c r="K1" s="2422"/>
      <c r="L1" s="207"/>
      <c r="N1" s="264" t="s">
        <v>1163</v>
      </c>
      <c r="Q1" s="644" t="s">
        <v>11</v>
      </c>
      <c r="R1" s="188" t="s">
        <v>308</v>
      </c>
      <c r="S1" s="188" t="s">
        <v>647</v>
      </c>
      <c r="T1" s="188" t="s">
        <v>908</v>
      </c>
      <c r="U1" s="188" t="s">
        <v>909</v>
      </c>
    </row>
    <row r="2" spans="1:21" ht="23.1" customHeight="1">
      <c r="A2" s="643"/>
      <c r="B2" s="643"/>
      <c r="C2" s="643"/>
      <c r="D2" s="643"/>
      <c r="E2" s="643"/>
      <c r="F2" s="207"/>
      <c r="G2" s="645"/>
      <c r="H2" s="645"/>
      <c r="I2" s="645"/>
      <c r="J2" s="645"/>
      <c r="K2" s="645"/>
      <c r="L2" s="207"/>
      <c r="N2" s="264" t="str">
        <f>【様式１】総括表・個票!$AJ$2</f>
        <v>加-25_4月申-</v>
      </c>
      <c r="Q2" s="644"/>
      <c r="R2" s="188"/>
      <c r="S2" s="188"/>
      <c r="T2" s="188"/>
      <c r="U2" s="188"/>
    </row>
    <row r="3" spans="1:21" ht="23.1" customHeight="1">
      <c r="A3" s="643" t="s">
        <v>910</v>
      </c>
      <c r="B3" s="207"/>
      <c r="C3" s="207"/>
      <c r="D3" s="207"/>
      <c r="E3" s="207"/>
      <c r="F3" s="207"/>
      <c r="G3" s="207"/>
      <c r="H3" s="207"/>
      <c r="I3" s="207"/>
      <c r="J3" s="207"/>
      <c r="K3" s="207"/>
      <c r="L3" s="207"/>
      <c r="N3" s="264" t="str">
        <f>【様式１】総括表・個票!$AJ$3</f>
        <v>-認_Ver.4.02</v>
      </c>
      <c r="Q3" s="644">
        <f>【様式１】総括表・個票!AK2</f>
        <v>2025</v>
      </c>
      <c r="R3" s="188">
        <f>4</f>
        <v>4</v>
      </c>
      <c r="S3" s="188">
        <v>1</v>
      </c>
      <c r="T3" s="188" t="s">
        <v>911</v>
      </c>
      <c r="U3" s="188" t="s">
        <v>912</v>
      </c>
    </row>
    <row r="4" spans="1:21" ht="23.1" customHeight="1">
      <c r="A4" s="646" t="s">
        <v>913</v>
      </c>
      <c r="B4" s="207"/>
      <c r="C4" s="207"/>
      <c r="D4" s="207"/>
      <c r="E4" s="207"/>
      <c r="F4" s="207"/>
      <c r="G4" s="207"/>
      <c r="H4" s="207"/>
      <c r="I4" s="207"/>
      <c r="J4" s="207"/>
      <c r="K4" s="207"/>
      <c r="L4" s="207"/>
      <c r="Q4" s="644">
        <f>Q3+1</f>
        <v>2026</v>
      </c>
      <c r="R4" s="188">
        <v>5</v>
      </c>
      <c r="S4" s="188">
        <v>2</v>
      </c>
      <c r="T4" s="188" t="s">
        <v>914</v>
      </c>
      <c r="U4" s="188" t="s">
        <v>915</v>
      </c>
    </row>
    <row r="5" spans="1:21" ht="23.1" customHeight="1">
      <c r="A5" s="2423" t="s">
        <v>916</v>
      </c>
      <c r="B5" s="2423"/>
      <c r="C5" s="2423"/>
      <c r="D5" s="2423"/>
      <c r="E5" s="2423"/>
      <c r="F5" s="2423"/>
      <c r="G5" s="2423"/>
      <c r="H5" s="2423"/>
      <c r="I5" s="2423"/>
      <c r="J5" s="2423"/>
      <c r="K5" s="2423"/>
      <c r="L5" s="647"/>
      <c r="R5" s="188">
        <v>6</v>
      </c>
      <c r="S5" s="188">
        <v>3</v>
      </c>
    </row>
    <row r="6" spans="1:21" ht="23.1" customHeight="1">
      <c r="A6" s="2423"/>
      <c r="B6" s="2423"/>
      <c r="C6" s="2423"/>
      <c r="D6" s="2423"/>
      <c r="E6" s="2423"/>
      <c r="F6" s="2423"/>
      <c r="G6" s="2423"/>
      <c r="H6" s="2423"/>
      <c r="I6" s="2423"/>
      <c r="J6" s="2423"/>
      <c r="K6" s="2423"/>
      <c r="L6" s="647"/>
      <c r="R6" s="188">
        <v>7</v>
      </c>
      <c r="S6" s="188">
        <v>4</v>
      </c>
    </row>
    <row r="7" spans="1:21" ht="23.1" customHeight="1">
      <c r="A7" s="2424" t="s">
        <v>917</v>
      </c>
      <c r="B7" s="2424"/>
      <c r="C7" s="2424"/>
      <c r="D7" s="2424"/>
      <c r="E7" s="2424"/>
      <c r="F7" s="2424"/>
      <c r="G7" s="2424"/>
      <c r="H7" s="2424"/>
      <c r="I7" s="2424"/>
      <c r="J7" s="2424"/>
      <c r="K7" s="2424"/>
      <c r="L7" s="207"/>
      <c r="R7" s="188">
        <v>8</v>
      </c>
      <c r="S7" s="188">
        <v>5</v>
      </c>
    </row>
    <row r="8" spans="1:21" ht="23.1" customHeight="1" thickBot="1">
      <c r="A8" s="2425"/>
      <c r="B8" s="2425"/>
      <c r="C8" s="2425"/>
      <c r="D8" s="2425"/>
      <c r="E8" s="2425"/>
      <c r="F8" s="2425"/>
      <c r="G8" s="2425"/>
      <c r="H8" s="2425"/>
      <c r="I8" s="2425"/>
      <c r="J8" s="2425"/>
      <c r="K8" s="2425"/>
      <c r="L8" s="207"/>
      <c r="R8" s="188">
        <v>9</v>
      </c>
      <c r="S8" s="188">
        <v>6</v>
      </c>
    </row>
    <row r="9" spans="1:21" ht="23.1" customHeight="1" thickBot="1">
      <c r="A9" s="2426" t="s">
        <v>918</v>
      </c>
      <c r="B9" s="2427"/>
      <c r="C9" s="2427"/>
      <c r="D9" s="2427" t="str">
        <f>IF(AND(N11,N12,N13,N15,N16,N17,N18,N19,N20,N21,N24,N25,N27,N28,N29,N30,N31,N32,N33,N36,N37),"○","×")</f>
        <v>×</v>
      </c>
      <c r="E9" s="2427"/>
      <c r="F9" s="2428" t="s">
        <v>919</v>
      </c>
      <c r="G9" s="2427"/>
      <c r="H9" s="2427"/>
      <c r="I9" s="2427" t="str">
        <f>IF(D9="○",IF(OR(H11=4,AND(H11=5,J11=1)),4,IF(J11=1,H11,H11+1)),"")</f>
        <v/>
      </c>
      <c r="J9" s="2427"/>
      <c r="K9" s="648" t="s">
        <v>85</v>
      </c>
      <c r="L9" s="207"/>
      <c r="R9" s="188">
        <v>10</v>
      </c>
      <c r="S9" s="188">
        <v>7</v>
      </c>
    </row>
    <row r="10" spans="1:21" ht="23.1" customHeight="1">
      <c r="A10" s="2430" t="s">
        <v>920</v>
      </c>
      <c r="B10" s="2431"/>
      <c r="C10" s="2431"/>
      <c r="D10" s="2431"/>
      <c r="E10" s="2431"/>
      <c r="F10" s="2431"/>
      <c r="G10" s="2431"/>
      <c r="H10" s="2431"/>
      <c r="I10" s="2431"/>
      <c r="J10" s="2431"/>
      <c r="K10" s="2432"/>
      <c r="L10" s="207"/>
      <c r="R10" s="188">
        <v>11</v>
      </c>
      <c r="S10" s="188">
        <v>8</v>
      </c>
    </row>
    <row r="11" spans="1:21" ht="23.1" customHeight="1">
      <c r="A11" s="649" t="s">
        <v>921</v>
      </c>
      <c r="B11" s="650"/>
      <c r="C11" s="650"/>
      <c r="D11" s="650"/>
      <c r="E11" s="651"/>
      <c r="F11" s="1111"/>
      <c r="G11" s="962" t="s">
        <v>11</v>
      </c>
      <c r="H11" s="1111"/>
      <c r="I11" s="962" t="s">
        <v>308</v>
      </c>
      <c r="J11" s="1111"/>
      <c r="K11" s="652" t="s">
        <v>647</v>
      </c>
      <c r="L11" s="653" t="str">
        <f>IF(N11,"","←エラー")</f>
        <v>←エラー</v>
      </c>
      <c r="N11" s="654" t="b">
        <f>IFERROR(AND(AND(F11&gt;0,H11&gt;0,J11&gt;0),DATE($Q$3,4,1)&lt;=DATE(F11,H11,J11),DATE($Q$3+1,3,31)&gt;=DATE(F11,H11,J11)),FALSE)</f>
        <v>0</v>
      </c>
      <c r="R11" s="188">
        <v>12</v>
      </c>
      <c r="S11" s="188">
        <v>9</v>
      </c>
    </row>
    <row r="12" spans="1:21" ht="23.1" customHeight="1">
      <c r="A12" s="2433" t="s">
        <v>922</v>
      </c>
      <c r="B12" s="2434"/>
      <c r="C12" s="2434"/>
      <c r="D12" s="2437" t="s">
        <v>923</v>
      </c>
      <c r="E12" s="2438"/>
      <c r="F12" s="2322"/>
      <c r="G12" s="2322"/>
      <c r="H12" s="2322"/>
      <c r="I12" s="2322"/>
      <c r="J12" s="2322"/>
      <c r="K12" s="2439"/>
      <c r="L12" s="653" t="str">
        <f>IF(N12,"","←エラー")</f>
        <v>←エラー</v>
      </c>
      <c r="N12" s="188" t="b">
        <f>ISTEXT(F12)</f>
        <v>0</v>
      </c>
      <c r="R12" s="188">
        <v>1</v>
      </c>
      <c r="S12" s="188">
        <v>10</v>
      </c>
    </row>
    <row r="13" spans="1:21" ht="23.1" customHeight="1" thickBot="1">
      <c r="A13" s="2435"/>
      <c r="B13" s="2436"/>
      <c r="C13" s="2436"/>
      <c r="D13" s="2440" t="s">
        <v>10</v>
      </c>
      <c r="E13" s="2441"/>
      <c r="F13" s="2442"/>
      <c r="G13" s="2443"/>
      <c r="H13" s="2443"/>
      <c r="I13" s="2443"/>
      <c r="J13" s="2443"/>
      <c r="K13" s="2444"/>
      <c r="L13" s="653" t="str">
        <f>IF(N13,"","←エラー")</f>
        <v>←エラー</v>
      </c>
      <c r="N13" s="188" t="b">
        <f>ISTEXT(F13)</f>
        <v>0</v>
      </c>
      <c r="R13" s="188">
        <v>2</v>
      </c>
      <c r="S13" s="188">
        <v>11</v>
      </c>
    </row>
    <row r="14" spans="1:21" ht="23.1" customHeight="1">
      <c r="A14" s="2430" t="s">
        <v>924</v>
      </c>
      <c r="B14" s="2431"/>
      <c r="C14" s="2431"/>
      <c r="D14" s="2431"/>
      <c r="E14" s="2431"/>
      <c r="F14" s="2431"/>
      <c r="G14" s="2431"/>
      <c r="H14" s="2431"/>
      <c r="I14" s="2431"/>
      <c r="J14" s="2431"/>
      <c r="K14" s="2432"/>
      <c r="L14" s="207"/>
      <c r="N14" s="655"/>
      <c r="R14" s="188">
        <v>3</v>
      </c>
      <c r="S14" s="188">
        <v>12</v>
      </c>
    </row>
    <row r="15" spans="1:21" ht="23.1" customHeight="1">
      <c r="A15" s="2445" t="s">
        <v>925</v>
      </c>
      <c r="B15" s="2446"/>
      <c r="C15" s="2451" t="s">
        <v>926</v>
      </c>
      <c r="D15" s="2451"/>
      <c r="E15" s="2452"/>
      <c r="F15" s="2453"/>
      <c r="G15" s="2453"/>
      <c r="H15" s="2453"/>
      <c r="I15" s="2453"/>
      <c r="J15" s="2453"/>
      <c r="K15" s="2454"/>
      <c r="L15" s="653" t="str">
        <f t="shared" ref="L15:L20" si="0">IF(N15,"","←エラー")</f>
        <v>←エラー</v>
      </c>
      <c r="N15" s="188" t="b">
        <f t="shared" ref="N15" si="1">ISTEXT(F15)</f>
        <v>0</v>
      </c>
      <c r="S15" s="188">
        <v>13</v>
      </c>
    </row>
    <row r="16" spans="1:21" ht="23.1" customHeight="1">
      <c r="A16" s="2447"/>
      <c r="B16" s="2448"/>
      <c r="C16" s="2455" t="s">
        <v>927</v>
      </c>
      <c r="D16" s="2456" t="s">
        <v>923</v>
      </c>
      <c r="E16" s="2457"/>
      <c r="F16" s="2322"/>
      <c r="G16" s="2322"/>
      <c r="H16" s="2322"/>
      <c r="I16" s="2322"/>
      <c r="J16" s="2322"/>
      <c r="K16" s="2439"/>
      <c r="L16" s="653" t="str">
        <f t="shared" si="0"/>
        <v>←エラー</v>
      </c>
      <c r="N16" s="188" t="b">
        <f>ISTEXT(F16)</f>
        <v>0</v>
      </c>
      <c r="S16" s="188">
        <v>14</v>
      </c>
    </row>
    <row r="17" spans="1:19" ht="23.1" customHeight="1">
      <c r="A17" s="2447"/>
      <c r="B17" s="2448"/>
      <c r="C17" s="2455"/>
      <c r="D17" s="2456" t="s">
        <v>10</v>
      </c>
      <c r="E17" s="2457"/>
      <c r="F17" s="2458"/>
      <c r="G17" s="2322"/>
      <c r="H17" s="2322"/>
      <c r="I17" s="2322"/>
      <c r="J17" s="2322"/>
      <c r="K17" s="2439"/>
      <c r="L17" s="653" t="str">
        <f>IF(N17,"","←エラー")</f>
        <v>←エラー</v>
      </c>
      <c r="N17" s="188" t="b">
        <f>ISTEXT(F17)</f>
        <v>0</v>
      </c>
      <c r="S17" s="188">
        <v>15</v>
      </c>
    </row>
    <row r="18" spans="1:19" ht="23.1" customHeight="1">
      <c r="A18" s="2449"/>
      <c r="B18" s="2450"/>
      <c r="C18" s="2459" t="s">
        <v>928</v>
      </c>
      <c r="D18" s="2459"/>
      <c r="E18" s="2460"/>
      <c r="F18" s="2320"/>
      <c r="G18" s="2320"/>
      <c r="H18" s="2320"/>
      <c r="I18" s="2320"/>
      <c r="J18" s="2320"/>
      <c r="K18" s="2461"/>
      <c r="L18" s="653" t="str">
        <f t="shared" si="0"/>
        <v>←エラー</v>
      </c>
      <c r="N18" s="188" t="b">
        <f>F18=$T$4</f>
        <v>0</v>
      </c>
      <c r="S18" s="188">
        <v>16</v>
      </c>
    </row>
    <row r="19" spans="1:19" ht="23.1" customHeight="1">
      <c r="A19" s="2433" t="s">
        <v>929</v>
      </c>
      <c r="B19" s="2434"/>
      <c r="C19" s="2434"/>
      <c r="D19" s="2434"/>
      <c r="E19" s="2438"/>
      <c r="F19" s="1112"/>
      <c r="G19" s="961" t="s">
        <v>11</v>
      </c>
      <c r="H19" s="1113"/>
      <c r="I19" s="961" t="s">
        <v>308</v>
      </c>
      <c r="J19" s="1113"/>
      <c r="K19" s="656" t="s">
        <v>647</v>
      </c>
      <c r="L19" s="653" t="str">
        <f t="shared" si="0"/>
        <v>←エラー</v>
      </c>
      <c r="N19" s="654" t="b">
        <f>IFERROR(AND(AND(F19&gt;0,H19&gt;0,J19&gt;0),DATE($Q$3,4,1)&lt;=DATE(F19,H19,J19),DATE($Q$3+1,3,31)&gt;=DATE(F19,H19,J19)),FALSE)</f>
        <v>0</v>
      </c>
      <c r="S19" s="188">
        <v>17</v>
      </c>
    </row>
    <row r="20" spans="1:19" ht="23.1" customHeight="1">
      <c r="A20" s="2433" t="s">
        <v>930</v>
      </c>
      <c r="B20" s="2434"/>
      <c r="C20" s="2434"/>
      <c r="D20" s="2434"/>
      <c r="E20" s="2438"/>
      <c r="F20" s="2322"/>
      <c r="G20" s="2322"/>
      <c r="H20" s="2322"/>
      <c r="I20" s="2322"/>
      <c r="J20" s="2322"/>
      <c r="K20" s="2439"/>
      <c r="L20" s="653" t="str">
        <f t="shared" si="0"/>
        <v>←エラー</v>
      </c>
      <c r="N20" s="188" t="b">
        <f>ISTEXT(F20)</f>
        <v>0</v>
      </c>
      <c r="S20" s="188">
        <v>18</v>
      </c>
    </row>
    <row r="21" spans="1:19" ht="23.1" customHeight="1">
      <c r="A21" s="2462" t="s">
        <v>931</v>
      </c>
      <c r="B21" s="2463"/>
      <c r="C21" s="2463"/>
      <c r="D21" s="2463"/>
      <c r="E21" s="2464"/>
      <c r="F21" s="2465"/>
      <c r="G21" s="2466"/>
      <c r="H21" s="2466"/>
      <c r="I21" s="2466"/>
      <c r="J21" s="2466"/>
      <c r="K21" s="2467"/>
      <c r="L21" s="653" t="str">
        <f>IF(N21,"","←エラー")</f>
        <v>←エラー</v>
      </c>
      <c r="N21" s="188" t="b">
        <f>ISTEXT(F21)</f>
        <v>0</v>
      </c>
      <c r="S21" s="188">
        <v>19</v>
      </c>
    </row>
    <row r="22" spans="1:19" ht="23.1" customHeight="1">
      <c r="A22" s="2447"/>
      <c r="B22" s="2234"/>
      <c r="C22" s="2234"/>
      <c r="D22" s="2234"/>
      <c r="E22" s="2235"/>
      <c r="F22" s="2468"/>
      <c r="G22" s="2469"/>
      <c r="H22" s="2469"/>
      <c r="I22" s="2469"/>
      <c r="J22" s="2469"/>
      <c r="K22" s="2470"/>
      <c r="L22" s="653"/>
      <c r="S22" s="188">
        <v>20</v>
      </c>
    </row>
    <row r="23" spans="1:19" ht="23.1" customHeight="1">
      <c r="A23" s="2447"/>
      <c r="B23" s="2234"/>
      <c r="C23" s="2234"/>
      <c r="D23" s="2234"/>
      <c r="E23" s="2235"/>
      <c r="F23" s="2468"/>
      <c r="G23" s="2469"/>
      <c r="H23" s="2469"/>
      <c r="I23" s="2469"/>
      <c r="J23" s="2469"/>
      <c r="K23" s="2470"/>
      <c r="L23" s="653"/>
      <c r="S23" s="188">
        <v>21</v>
      </c>
    </row>
    <row r="24" spans="1:19" ht="23.1" customHeight="1">
      <c r="A24" s="657"/>
      <c r="B24" s="2437" t="s">
        <v>932</v>
      </c>
      <c r="C24" s="2434"/>
      <c r="D24" s="2434"/>
      <c r="E24" s="2438"/>
      <c r="F24" s="2471"/>
      <c r="G24" s="2320"/>
      <c r="H24" s="2320"/>
      <c r="I24" s="2320"/>
      <c r="J24" s="2320"/>
      <c r="K24" s="2461"/>
      <c r="L24" s="653" t="str">
        <f t="shared" ref="L24:L25" si="2">IF(N24,"","←エラー")</f>
        <v>←エラー</v>
      </c>
      <c r="N24" s="188" t="b">
        <f>F24=$U$3</f>
        <v>0</v>
      </c>
      <c r="S24" s="188">
        <v>22</v>
      </c>
    </row>
    <row r="25" spans="1:19" ht="23.1" customHeight="1" thickBot="1">
      <c r="A25" s="658"/>
      <c r="B25" s="2440" t="s">
        <v>933</v>
      </c>
      <c r="C25" s="2436"/>
      <c r="D25" s="2436"/>
      <c r="E25" s="2441"/>
      <c r="F25" s="2472"/>
      <c r="G25" s="2473"/>
      <c r="H25" s="2473"/>
      <c r="I25" s="2473"/>
      <c r="J25" s="2473"/>
      <c r="K25" s="2474"/>
      <c r="L25" s="653" t="str">
        <f t="shared" si="2"/>
        <v>←エラー</v>
      </c>
      <c r="N25" s="188" t="b">
        <f>F25=$U$3</f>
        <v>0</v>
      </c>
      <c r="S25" s="188">
        <v>23</v>
      </c>
    </row>
    <row r="26" spans="1:19" ht="23.1" customHeight="1">
      <c r="A26" s="2430" t="s">
        <v>934</v>
      </c>
      <c r="B26" s="2431"/>
      <c r="C26" s="2431"/>
      <c r="D26" s="2431"/>
      <c r="E26" s="2431"/>
      <c r="F26" s="2431"/>
      <c r="G26" s="2431"/>
      <c r="H26" s="2431"/>
      <c r="I26" s="2431"/>
      <c r="J26" s="2431"/>
      <c r="K26" s="2432"/>
      <c r="L26" s="207"/>
      <c r="N26" s="655"/>
      <c r="S26" s="188">
        <v>24</v>
      </c>
    </row>
    <row r="27" spans="1:19" ht="23.1" customHeight="1">
      <c r="A27" s="2445" t="s">
        <v>925</v>
      </c>
      <c r="B27" s="2446"/>
      <c r="C27" s="2451" t="s">
        <v>926</v>
      </c>
      <c r="D27" s="2451"/>
      <c r="E27" s="2452"/>
      <c r="F27" s="2453"/>
      <c r="G27" s="2453"/>
      <c r="H27" s="2453"/>
      <c r="I27" s="2453"/>
      <c r="J27" s="2453"/>
      <c r="K27" s="2454"/>
      <c r="L27" s="653" t="str">
        <f t="shared" ref="L27:L28" si="3">IF(N27,"","←エラー")</f>
        <v>←エラー</v>
      </c>
      <c r="N27" s="188" t="b">
        <f t="shared" ref="N27" si="4">ISTEXT(F27)</f>
        <v>0</v>
      </c>
      <c r="S27" s="188">
        <v>25</v>
      </c>
    </row>
    <row r="28" spans="1:19" ht="23.1" customHeight="1">
      <c r="A28" s="2447"/>
      <c r="B28" s="2448"/>
      <c r="C28" s="2455" t="s">
        <v>927</v>
      </c>
      <c r="D28" s="2456" t="s">
        <v>923</v>
      </c>
      <c r="E28" s="2457"/>
      <c r="F28" s="2322"/>
      <c r="G28" s="2322"/>
      <c r="H28" s="2322"/>
      <c r="I28" s="2322"/>
      <c r="J28" s="2322"/>
      <c r="K28" s="2439"/>
      <c r="L28" s="653" t="str">
        <f t="shared" si="3"/>
        <v>←エラー</v>
      </c>
      <c r="N28" s="188" t="b">
        <f>ISTEXT(F28)</f>
        <v>0</v>
      </c>
      <c r="S28" s="188">
        <v>26</v>
      </c>
    </row>
    <row r="29" spans="1:19" ht="23.1" customHeight="1">
      <c r="A29" s="2447"/>
      <c r="B29" s="2448"/>
      <c r="C29" s="2455"/>
      <c r="D29" s="2456" t="s">
        <v>10</v>
      </c>
      <c r="E29" s="2457"/>
      <c r="F29" s="2458"/>
      <c r="G29" s="2322"/>
      <c r="H29" s="2322"/>
      <c r="I29" s="2322"/>
      <c r="J29" s="2322"/>
      <c r="K29" s="2439"/>
      <c r="L29" s="653" t="str">
        <f>IF(N29,"","←エラー")</f>
        <v>←エラー</v>
      </c>
      <c r="N29" s="188" t="b">
        <f>ISTEXT(F29)</f>
        <v>0</v>
      </c>
      <c r="S29" s="188">
        <v>27</v>
      </c>
    </row>
    <row r="30" spans="1:19" ht="23.1" customHeight="1">
      <c r="A30" s="2449"/>
      <c r="B30" s="2450"/>
      <c r="C30" s="2459" t="s">
        <v>928</v>
      </c>
      <c r="D30" s="2459"/>
      <c r="E30" s="2460"/>
      <c r="F30" s="2320"/>
      <c r="G30" s="2320"/>
      <c r="H30" s="2320"/>
      <c r="I30" s="2320"/>
      <c r="J30" s="2320"/>
      <c r="K30" s="2461"/>
      <c r="L30" s="653" t="str">
        <f t="shared" ref="L30:L32" si="5">IF(N30,"","←エラー")</f>
        <v>←エラー</v>
      </c>
      <c r="N30" s="188" t="b">
        <f>F30=$T$4</f>
        <v>0</v>
      </c>
      <c r="S30" s="188">
        <v>28</v>
      </c>
    </row>
    <row r="31" spans="1:19" ht="23.1" customHeight="1">
      <c r="A31" s="2433" t="s">
        <v>929</v>
      </c>
      <c r="B31" s="2434"/>
      <c r="C31" s="2434"/>
      <c r="D31" s="2434"/>
      <c r="E31" s="2438"/>
      <c r="F31" s="1112"/>
      <c r="G31" s="961" t="s">
        <v>11</v>
      </c>
      <c r="H31" s="1113"/>
      <c r="I31" s="961" t="s">
        <v>308</v>
      </c>
      <c r="J31" s="1113"/>
      <c r="K31" s="656" t="s">
        <v>647</v>
      </c>
      <c r="L31" s="653" t="str">
        <f t="shared" si="5"/>
        <v>←エラー</v>
      </c>
      <c r="N31" s="654" t="b">
        <f>IFERROR(AND(AND(F31&gt;0,H31&gt;0,J31&gt;0),DATE($Q$3,4,1)&lt;=DATE(F31,H31,J31),DATE($Q$3+1,3,31)&gt;=DATE(F31,H31,J31)),FALSE)</f>
        <v>0</v>
      </c>
      <c r="S31" s="188">
        <v>29</v>
      </c>
    </row>
    <row r="32" spans="1:19" ht="23.1" customHeight="1">
      <c r="A32" s="2433" t="s">
        <v>930</v>
      </c>
      <c r="B32" s="2434"/>
      <c r="C32" s="2434"/>
      <c r="D32" s="2434"/>
      <c r="E32" s="2438"/>
      <c r="F32" s="2322"/>
      <c r="G32" s="2322"/>
      <c r="H32" s="2322"/>
      <c r="I32" s="2322"/>
      <c r="J32" s="2322"/>
      <c r="K32" s="2439"/>
      <c r="L32" s="653" t="str">
        <f t="shared" si="5"/>
        <v>←エラー</v>
      </c>
      <c r="N32" s="188" t="b">
        <f>ISTEXT(F32)</f>
        <v>0</v>
      </c>
      <c r="S32" s="188">
        <v>30</v>
      </c>
    </row>
    <row r="33" spans="1:19" ht="23.1" customHeight="1">
      <c r="A33" s="2462" t="s">
        <v>931</v>
      </c>
      <c r="B33" s="2463"/>
      <c r="C33" s="2463"/>
      <c r="D33" s="2463"/>
      <c r="E33" s="2464"/>
      <c r="F33" s="2465"/>
      <c r="G33" s="2466"/>
      <c r="H33" s="2466"/>
      <c r="I33" s="2466"/>
      <c r="J33" s="2466"/>
      <c r="K33" s="2467"/>
      <c r="L33" s="653" t="str">
        <f>IF(N33,"","←エラー")</f>
        <v>←エラー</v>
      </c>
      <c r="N33" s="188" t="b">
        <f>ISTEXT(F33)</f>
        <v>0</v>
      </c>
      <c r="S33" s="188">
        <v>31</v>
      </c>
    </row>
    <row r="34" spans="1:19" ht="23.1" customHeight="1">
      <c r="A34" s="2447"/>
      <c r="B34" s="2234"/>
      <c r="C34" s="2234"/>
      <c r="D34" s="2234"/>
      <c r="E34" s="2235"/>
      <c r="F34" s="2468"/>
      <c r="G34" s="2469"/>
      <c r="H34" s="2469"/>
      <c r="I34" s="2469"/>
      <c r="J34" s="2469"/>
      <c r="K34" s="2470"/>
      <c r="L34" s="653"/>
    </row>
    <row r="35" spans="1:19" ht="23.1" customHeight="1">
      <c r="A35" s="2447"/>
      <c r="B35" s="2234"/>
      <c r="C35" s="2234"/>
      <c r="D35" s="2234"/>
      <c r="E35" s="2235"/>
      <c r="F35" s="2468"/>
      <c r="G35" s="2469"/>
      <c r="H35" s="2469"/>
      <c r="I35" s="2469"/>
      <c r="J35" s="2469"/>
      <c r="K35" s="2470"/>
      <c r="L35" s="653"/>
    </row>
    <row r="36" spans="1:19" ht="23.1" customHeight="1">
      <c r="A36" s="657"/>
      <c r="B36" s="2437" t="s">
        <v>932</v>
      </c>
      <c r="C36" s="2434"/>
      <c r="D36" s="2434"/>
      <c r="E36" s="2438"/>
      <c r="F36" s="2471"/>
      <c r="G36" s="2320"/>
      <c r="H36" s="2320"/>
      <c r="I36" s="2320"/>
      <c r="J36" s="2320"/>
      <c r="K36" s="2461"/>
      <c r="L36" s="653" t="str">
        <f t="shared" ref="L36:L37" si="6">IF(N36,"","←エラー")</f>
        <v>←エラー</v>
      </c>
      <c r="N36" s="188" t="b">
        <f>F36=$U$3</f>
        <v>0</v>
      </c>
    </row>
    <row r="37" spans="1:19" ht="23.1" customHeight="1" thickBot="1">
      <c r="A37" s="658"/>
      <c r="B37" s="2440" t="s">
        <v>933</v>
      </c>
      <c r="C37" s="2436"/>
      <c r="D37" s="2436"/>
      <c r="E37" s="2441"/>
      <c r="F37" s="2472"/>
      <c r="G37" s="2473"/>
      <c r="H37" s="2473"/>
      <c r="I37" s="2473"/>
      <c r="J37" s="2473"/>
      <c r="K37" s="2474"/>
      <c r="L37" s="653" t="str">
        <f t="shared" si="6"/>
        <v>←エラー</v>
      </c>
      <c r="N37" s="188" t="b">
        <f>F37=$U$3</f>
        <v>0</v>
      </c>
    </row>
  </sheetData>
  <sheetProtection algorithmName="SHA-512" hashValue="/0ossairMsXq7eAzGsR37O+FjoG7a70wXujKfG03GLypwAjYwMl4SklwSILufKeRAE9F3c3FbFKKVvOMCXqsCQ==" saltValue="mDvxgge1WDt1zSflF4LnBA==" spinCount="100000" sheet="1" objects="1" scenarios="1"/>
  <mergeCells count="54">
    <mergeCell ref="B37:E37"/>
    <mergeCell ref="F37:K37"/>
    <mergeCell ref="A32:E32"/>
    <mergeCell ref="F32:K32"/>
    <mergeCell ref="A33:E35"/>
    <mergeCell ref="F33:K35"/>
    <mergeCell ref="B36:E36"/>
    <mergeCell ref="F36:K36"/>
    <mergeCell ref="A31:E31"/>
    <mergeCell ref="B24:E24"/>
    <mergeCell ref="F24:K24"/>
    <mergeCell ref="B25:E25"/>
    <mergeCell ref="F25:K25"/>
    <mergeCell ref="A26:K26"/>
    <mergeCell ref="A27:B30"/>
    <mergeCell ref="C27:E27"/>
    <mergeCell ref="F27:K27"/>
    <mergeCell ref="C28:C29"/>
    <mergeCell ref="D28:E28"/>
    <mergeCell ref="F28:K28"/>
    <mergeCell ref="D29:E29"/>
    <mergeCell ref="F29:K29"/>
    <mergeCell ref="C30:E30"/>
    <mergeCell ref="F30:K30"/>
    <mergeCell ref="A19:E19"/>
    <mergeCell ref="A20:E20"/>
    <mergeCell ref="F20:K20"/>
    <mergeCell ref="A21:E23"/>
    <mergeCell ref="F21:K23"/>
    <mergeCell ref="A14:K14"/>
    <mergeCell ref="A15:B18"/>
    <mergeCell ref="C15:E15"/>
    <mergeCell ref="F15:K15"/>
    <mergeCell ref="C16:C17"/>
    <mergeCell ref="D16:E16"/>
    <mergeCell ref="F16:K16"/>
    <mergeCell ref="D17:E17"/>
    <mergeCell ref="F17:K17"/>
    <mergeCell ref="C18:E18"/>
    <mergeCell ref="F18:K18"/>
    <mergeCell ref="A10:K10"/>
    <mergeCell ref="A12:C13"/>
    <mergeCell ref="D12:E12"/>
    <mergeCell ref="F12:K12"/>
    <mergeCell ref="D13:E13"/>
    <mergeCell ref="F13:K13"/>
    <mergeCell ref="G1:K1"/>
    <mergeCell ref="A5:K6"/>
    <mergeCell ref="A7:K8"/>
    <mergeCell ref="A9:C9"/>
    <mergeCell ref="D9:E9"/>
    <mergeCell ref="F9:H9"/>
    <mergeCell ref="I9:J9"/>
    <mergeCell ref="A1:F1"/>
  </mergeCells>
  <phoneticPr fontId="1"/>
  <dataValidations count="5">
    <dataValidation type="list" allowBlank="1" showInputMessage="1" showErrorMessage="1" sqref="J19 J11 J31" xr:uid="{00000000-0002-0000-0C00-000000000000}">
      <formula1>$S$2:$S$33</formula1>
    </dataValidation>
    <dataValidation type="list" allowBlank="1" showInputMessage="1" showErrorMessage="1" sqref="H11 H19 H31" xr:uid="{00000000-0002-0000-0C00-000001000000}">
      <formula1>$R$2:$R$14</formula1>
    </dataValidation>
    <dataValidation type="list" allowBlank="1" showInputMessage="1" showErrorMessage="1" sqref="F24:K25 F36:K37" xr:uid="{00000000-0002-0000-0C00-000002000000}">
      <formula1>$U$2:$U$4</formula1>
    </dataValidation>
    <dataValidation type="list" allowBlank="1" showInputMessage="1" showErrorMessage="1" sqref="F18:K18 F30:K30" xr:uid="{00000000-0002-0000-0C00-000003000000}">
      <formula1>$T$2:$T$4</formula1>
    </dataValidation>
    <dataValidation type="list" allowBlank="1" showInputMessage="1" showErrorMessage="1" sqref="F11 F19 F31" xr:uid="{00000000-0002-0000-0C00-000004000000}">
      <formula1>$Q$2:$Q$4</formula1>
    </dataValidation>
  </dataValidations>
  <pageMargins left="0.7" right="0.7" top="0.75" bottom="0.75" header="0.3" footer="0.3"/>
  <pageSetup paperSize="9" scale="8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tabColor rgb="FFFF0000"/>
    <pageSetUpPr fitToPage="1"/>
  </sheetPr>
  <dimension ref="A1:AO163"/>
  <sheetViews>
    <sheetView view="pageBreakPreview" topLeftCell="A32" zoomScaleNormal="100" zoomScaleSheetLayoutView="100" workbookViewId="0">
      <selection activeCell="F45" sqref="F45"/>
    </sheetView>
  </sheetViews>
  <sheetFormatPr defaultColWidth="9" defaultRowHeight="13.5" outlineLevelCol="2"/>
  <cols>
    <col min="1" max="1" width="3" style="78" customWidth="1"/>
    <col min="2" max="2" width="18.125" style="78" customWidth="1"/>
    <col min="3" max="11" width="15.625" style="78" customWidth="1"/>
    <col min="12" max="12" width="7" style="78" customWidth="1"/>
    <col min="13" max="13" width="62.375" style="78" customWidth="1"/>
    <col min="14" max="15" width="6.25" style="78" hidden="1" customWidth="1" outlineLevel="2"/>
    <col min="16" max="17" width="6.5" style="78" hidden="1" customWidth="1" outlineLevel="2"/>
    <col min="18" max="18" width="7.125" style="78" hidden="1" customWidth="1" outlineLevel="2"/>
    <col min="19" max="19" width="7.5" style="78" hidden="1" customWidth="1" outlineLevel="2"/>
    <col min="20" max="21" width="9" style="78" hidden="1" customWidth="1" outlineLevel="2"/>
    <col min="22" max="22" width="9" style="187" hidden="1" customWidth="1" outlineLevel="2"/>
    <col min="23" max="28" width="9" style="78" hidden="1" customWidth="1" outlineLevel="2"/>
    <col min="29" max="29" width="16.375" style="78" hidden="1" customWidth="1" outlineLevel="2"/>
    <col min="30" max="32" width="9" style="78" hidden="1" customWidth="1" outlineLevel="2"/>
    <col min="33" max="33" width="12.75" style="78" hidden="1" customWidth="1" outlineLevel="2"/>
    <col min="34" max="34" width="14.875" style="78" hidden="1" customWidth="1" outlineLevel="2"/>
    <col min="35" max="36" width="9" style="78" hidden="1" customWidth="1" outlineLevel="2"/>
    <col min="37" max="37" width="9" style="78" hidden="1" customWidth="1" outlineLevel="1"/>
    <col min="38" max="38" width="15.125" style="78" hidden="1" customWidth="1" outlineLevel="1"/>
    <col min="39" max="39" width="9" style="78" hidden="1" customWidth="1" outlineLevel="1"/>
    <col min="40" max="40" width="14.125" style="78" hidden="1" customWidth="1" outlineLevel="1"/>
    <col min="41" max="41" width="9" style="78" customWidth="1" collapsed="1"/>
    <col min="42" max="45" width="9" style="78" customWidth="1"/>
    <col min="46" max="16384" width="9" style="78"/>
  </cols>
  <sheetData>
    <row r="1" spans="1:22" ht="15" customHeight="1">
      <c r="A1" s="208" t="s">
        <v>719</v>
      </c>
      <c r="B1" s="209"/>
      <c r="C1" s="209"/>
      <c r="D1" s="209"/>
      <c r="E1" s="209"/>
      <c r="F1" s="209"/>
      <c r="G1" s="209"/>
      <c r="H1" s="209"/>
      <c r="I1" s="2360" t="str">
        <f>N2&amp;"様式2"&amp;N3</f>
        <v>加-25_4月申-様式2-認_Ver.4.02</v>
      </c>
      <c r="J1" s="2360"/>
      <c r="K1" s="2360"/>
      <c r="L1" s="133"/>
      <c r="M1" s="133"/>
      <c r="N1" s="264" t="s">
        <v>1163</v>
      </c>
    </row>
    <row r="2" spans="1:22" ht="15" customHeight="1">
      <c r="A2" s="2481" t="str">
        <f>【様式１】総括表・個票!AK2&amp;"年度"</f>
        <v>2025年度</v>
      </c>
      <c r="B2" s="2481"/>
      <c r="C2" s="2481"/>
      <c r="D2" s="2481"/>
      <c r="E2" s="2481"/>
      <c r="F2" s="2482" t="s">
        <v>9</v>
      </c>
      <c r="G2" s="2482"/>
      <c r="H2" s="132" t="str">
        <f>+"【"&amp;【様式１】総括表・個票!I10&amp;"月分】"</f>
        <v>【4月分】</v>
      </c>
      <c r="I2" s="208"/>
      <c r="J2" s="210"/>
      <c r="K2" s="210"/>
      <c r="L2" s="133"/>
      <c r="M2" s="133"/>
      <c r="N2" s="264" t="str">
        <f>【様式１】総括表・個票!$AJ$2</f>
        <v>加-25_4月申-</v>
      </c>
    </row>
    <row r="3" spans="1:22" ht="15" customHeight="1" thickBot="1">
      <c r="A3" s="211" t="s">
        <v>97</v>
      </c>
      <c r="B3" s="209"/>
      <c r="C3" s="209"/>
      <c r="D3" s="209"/>
      <c r="E3" s="209"/>
      <c r="F3" s="209"/>
      <c r="G3" s="209"/>
      <c r="H3" s="209"/>
      <c r="I3" s="209"/>
      <c r="J3" s="209"/>
      <c r="K3" s="209"/>
      <c r="N3" s="264" t="str">
        <f>【様式１】総括表・個票!$AJ$3</f>
        <v>-認_Ver.4.02</v>
      </c>
    </row>
    <row r="4" spans="1:22" ht="15" customHeight="1" thickBot="1">
      <c r="A4" s="208"/>
      <c r="B4" s="2483" t="s">
        <v>720</v>
      </c>
      <c r="C4" s="2484"/>
      <c r="D4" s="2484"/>
      <c r="E4" s="2484"/>
      <c r="F4" s="2484"/>
      <c r="G4" s="2484"/>
      <c r="H4" s="2484"/>
      <c r="I4" s="2484"/>
      <c r="J4" s="2484"/>
      <c r="K4" s="2485"/>
      <c r="T4" s="187"/>
      <c r="V4" s="78"/>
    </row>
    <row r="5" spans="1:22" ht="15" customHeight="1">
      <c r="A5" s="212"/>
      <c r="B5" s="2486" t="s">
        <v>721</v>
      </c>
      <c r="C5" s="2487"/>
      <c r="D5" s="2487"/>
      <c r="E5" s="2488"/>
      <c r="F5" s="213" t="s">
        <v>722</v>
      </c>
      <c r="G5" s="2495"/>
      <c r="H5" s="2496"/>
      <c r="I5" s="2496"/>
      <c r="J5" s="2496"/>
      <c r="K5" s="1036" t="s">
        <v>293</v>
      </c>
      <c r="T5" s="187"/>
      <c r="V5" s="78"/>
    </row>
    <row r="6" spans="1:22" ht="15" customHeight="1">
      <c r="A6" s="212"/>
      <c r="B6" s="2489"/>
      <c r="C6" s="2490"/>
      <c r="D6" s="2490"/>
      <c r="E6" s="2491"/>
      <c r="F6" s="2497" t="str">
        <f>IF(AND(G5&lt;150,G5&gt;0),"根拠・理由","")</f>
        <v/>
      </c>
      <c r="G6" s="2499"/>
      <c r="H6" s="2500"/>
      <c r="I6" s="2500"/>
      <c r="J6" s="2500"/>
      <c r="K6" s="2501"/>
      <c r="T6" s="187"/>
      <c r="V6" s="78"/>
    </row>
    <row r="7" spans="1:22" ht="15" customHeight="1" thickBot="1">
      <c r="A7" s="212"/>
      <c r="B7" s="2492"/>
      <c r="C7" s="2493"/>
      <c r="D7" s="2493"/>
      <c r="E7" s="2494"/>
      <c r="F7" s="2498"/>
      <c r="G7" s="2502"/>
      <c r="H7" s="2503"/>
      <c r="I7" s="2503"/>
      <c r="J7" s="2503"/>
      <c r="K7" s="2504"/>
      <c r="T7" s="187"/>
      <c r="V7" s="78"/>
    </row>
    <row r="8" spans="1:22" ht="15" customHeight="1">
      <c r="A8" s="212"/>
      <c r="B8" s="2517" t="s">
        <v>103</v>
      </c>
      <c r="C8" s="2518"/>
      <c r="D8" s="2508" t="s">
        <v>723</v>
      </c>
      <c r="E8" s="2509"/>
      <c r="F8" s="2509"/>
      <c r="G8" s="2510"/>
      <c r="H8" s="2479" t="s">
        <v>724</v>
      </c>
      <c r="I8" s="2479"/>
      <c r="J8" s="2479"/>
      <c r="K8" s="2480"/>
      <c r="V8" s="78"/>
    </row>
    <row r="9" spans="1:22" ht="15" customHeight="1">
      <c r="A9" s="208"/>
      <c r="B9" s="2527"/>
      <c r="C9" s="2528"/>
      <c r="D9" s="2505" t="s">
        <v>91</v>
      </c>
      <c r="E9" s="2506"/>
      <c r="F9" s="2507"/>
      <c r="G9" s="2477" t="s">
        <v>725</v>
      </c>
      <c r="H9" s="839" t="s">
        <v>91</v>
      </c>
      <c r="I9" s="2511" t="s">
        <v>8</v>
      </c>
      <c r="J9" s="2512"/>
      <c r="K9" s="2513" t="s">
        <v>726</v>
      </c>
      <c r="R9" s="187"/>
      <c r="V9" s="78"/>
    </row>
    <row r="10" spans="1:22" ht="15" customHeight="1" thickBot="1">
      <c r="A10" s="208"/>
      <c r="B10" s="2529"/>
      <c r="C10" s="2530"/>
      <c r="D10" s="214" t="s">
        <v>158</v>
      </c>
      <c r="E10" s="215" t="s">
        <v>159</v>
      </c>
      <c r="F10" s="216" t="s">
        <v>7</v>
      </c>
      <c r="G10" s="2478"/>
      <c r="H10" s="840" t="s">
        <v>294</v>
      </c>
      <c r="I10" s="217" t="s">
        <v>727</v>
      </c>
      <c r="J10" s="216" t="s">
        <v>724</v>
      </c>
      <c r="K10" s="2514"/>
      <c r="R10" s="187"/>
      <c r="V10" s="78"/>
    </row>
    <row r="11" spans="1:22" ht="15" customHeight="1">
      <c r="A11" s="212"/>
      <c r="B11" s="2531" t="s">
        <v>728</v>
      </c>
      <c r="C11" s="2532"/>
      <c r="D11" s="744">
        <f t="shared" ref="D11:E18" si="0">W144</f>
        <v>0</v>
      </c>
      <c r="E11" s="745">
        <f t="shared" si="0"/>
        <v>0</v>
      </c>
      <c r="F11" s="745">
        <f t="shared" ref="F11:F18" si="1">SUM(Y144,Z144)</f>
        <v>0</v>
      </c>
      <c r="G11" s="845">
        <f t="shared" ref="G11:G18" si="2">AA144</f>
        <v>0</v>
      </c>
      <c r="H11" s="841">
        <f t="shared" ref="H11:I18" si="3">U144</f>
        <v>0</v>
      </c>
      <c r="I11" s="1139">
        <f t="shared" si="3"/>
        <v>0</v>
      </c>
      <c r="J11" s="1037">
        <f>IFERROR(I11/$G$5,0)</f>
        <v>0</v>
      </c>
      <c r="K11" s="746">
        <f>SUM(H11,J11)</f>
        <v>0</v>
      </c>
      <c r="R11" s="187"/>
      <c r="V11" s="78"/>
    </row>
    <row r="12" spans="1:22" ht="15" customHeight="1">
      <c r="A12" s="212"/>
      <c r="B12" s="2475" t="s">
        <v>979</v>
      </c>
      <c r="C12" s="2476"/>
      <c r="D12" s="218">
        <f t="shared" si="0"/>
        <v>0</v>
      </c>
      <c r="E12" s="219">
        <f t="shared" si="0"/>
        <v>0</v>
      </c>
      <c r="F12" s="219">
        <f t="shared" si="1"/>
        <v>0</v>
      </c>
      <c r="G12" s="846">
        <f t="shared" si="2"/>
        <v>0</v>
      </c>
      <c r="H12" s="842">
        <f t="shared" si="3"/>
        <v>0</v>
      </c>
      <c r="I12" s="1140">
        <f t="shared" si="3"/>
        <v>0</v>
      </c>
      <c r="J12" s="1038">
        <f>IFERROR(I12/$G$5,0)</f>
        <v>0</v>
      </c>
      <c r="K12" s="220">
        <f>SUM(H12,J12)</f>
        <v>0</v>
      </c>
      <c r="R12" s="187"/>
      <c r="V12" s="78"/>
    </row>
    <row r="13" spans="1:22" ht="15" customHeight="1">
      <c r="A13" s="212"/>
      <c r="B13" s="2475" t="s">
        <v>980</v>
      </c>
      <c r="C13" s="2476"/>
      <c r="D13" s="218">
        <f t="shared" si="0"/>
        <v>0</v>
      </c>
      <c r="E13" s="219">
        <f t="shared" si="0"/>
        <v>0</v>
      </c>
      <c r="F13" s="219">
        <f t="shared" si="1"/>
        <v>0</v>
      </c>
      <c r="G13" s="846">
        <f t="shared" si="2"/>
        <v>0</v>
      </c>
      <c r="H13" s="842">
        <f t="shared" si="3"/>
        <v>0</v>
      </c>
      <c r="I13" s="1140">
        <f t="shared" si="3"/>
        <v>0</v>
      </c>
      <c r="J13" s="1038">
        <f t="shared" ref="J13:J17" si="4">IFERROR(I13/$G$5,0)</f>
        <v>0</v>
      </c>
      <c r="K13" s="220">
        <f t="shared" ref="K13:K17" si="5">SUM(H13,J13)</f>
        <v>0</v>
      </c>
      <c r="R13" s="187"/>
      <c r="V13" s="78"/>
    </row>
    <row r="14" spans="1:22" ht="15" customHeight="1">
      <c r="A14" s="212"/>
      <c r="B14" s="2475" t="s">
        <v>1643</v>
      </c>
      <c r="C14" s="2476"/>
      <c r="D14" s="218">
        <f t="shared" si="0"/>
        <v>0</v>
      </c>
      <c r="E14" s="219">
        <f t="shared" si="0"/>
        <v>0</v>
      </c>
      <c r="F14" s="219">
        <f t="shared" si="1"/>
        <v>0</v>
      </c>
      <c r="G14" s="846">
        <f t="shared" si="2"/>
        <v>0</v>
      </c>
      <c r="H14" s="842">
        <f t="shared" si="3"/>
        <v>0</v>
      </c>
      <c r="I14" s="1140">
        <f t="shared" si="3"/>
        <v>0</v>
      </c>
      <c r="J14" s="1038">
        <f t="shared" si="4"/>
        <v>0</v>
      </c>
      <c r="K14" s="220">
        <f t="shared" si="5"/>
        <v>0</v>
      </c>
      <c r="R14" s="187"/>
      <c r="V14" s="78"/>
    </row>
    <row r="15" spans="1:22" ht="15" customHeight="1">
      <c r="A15" s="212"/>
      <c r="B15" s="2475" t="s">
        <v>157</v>
      </c>
      <c r="C15" s="2476"/>
      <c r="D15" s="218">
        <f t="shared" si="0"/>
        <v>0</v>
      </c>
      <c r="E15" s="219">
        <f t="shared" si="0"/>
        <v>0</v>
      </c>
      <c r="F15" s="219">
        <f t="shared" si="1"/>
        <v>0</v>
      </c>
      <c r="G15" s="846">
        <f t="shared" si="2"/>
        <v>0</v>
      </c>
      <c r="H15" s="842">
        <f t="shared" si="3"/>
        <v>0</v>
      </c>
      <c r="I15" s="1140">
        <f t="shared" si="3"/>
        <v>0</v>
      </c>
      <c r="J15" s="1038">
        <f t="shared" si="4"/>
        <v>0</v>
      </c>
      <c r="K15" s="220">
        <f t="shared" si="5"/>
        <v>0</v>
      </c>
      <c r="R15" s="187"/>
      <c r="V15" s="78"/>
    </row>
    <row r="16" spans="1:22" ht="15" customHeight="1">
      <c r="A16" s="212"/>
      <c r="B16" s="2475" t="s">
        <v>729</v>
      </c>
      <c r="C16" s="2476"/>
      <c r="D16" s="218">
        <f t="shared" si="0"/>
        <v>0</v>
      </c>
      <c r="E16" s="219">
        <f t="shared" si="0"/>
        <v>0</v>
      </c>
      <c r="F16" s="219">
        <f t="shared" si="1"/>
        <v>0</v>
      </c>
      <c r="G16" s="846">
        <f t="shared" si="2"/>
        <v>0</v>
      </c>
      <c r="H16" s="842">
        <f t="shared" si="3"/>
        <v>0</v>
      </c>
      <c r="I16" s="1140">
        <f t="shared" si="3"/>
        <v>0</v>
      </c>
      <c r="J16" s="1038">
        <f t="shared" si="4"/>
        <v>0</v>
      </c>
      <c r="K16" s="220">
        <f t="shared" si="5"/>
        <v>0</v>
      </c>
      <c r="R16" s="187"/>
      <c r="V16" s="78"/>
    </row>
    <row r="17" spans="1:40" ht="15" customHeight="1">
      <c r="A17" s="212"/>
      <c r="B17" s="2475" t="s">
        <v>978</v>
      </c>
      <c r="C17" s="2476"/>
      <c r="D17" s="741">
        <f t="shared" si="0"/>
        <v>0</v>
      </c>
      <c r="E17" s="742">
        <f t="shared" si="0"/>
        <v>0</v>
      </c>
      <c r="F17" s="742">
        <f t="shared" si="1"/>
        <v>0</v>
      </c>
      <c r="G17" s="847">
        <f t="shared" si="2"/>
        <v>0</v>
      </c>
      <c r="H17" s="843">
        <f t="shared" si="3"/>
        <v>0</v>
      </c>
      <c r="I17" s="1141">
        <f t="shared" si="3"/>
        <v>0</v>
      </c>
      <c r="J17" s="1039">
        <f t="shared" si="4"/>
        <v>0</v>
      </c>
      <c r="K17" s="743">
        <f t="shared" si="5"/>
        <v>0</v>
      </c>
      <c r="R17" s="187"/>
      <c r="V17" s="78"/>
    </row>
    <row r="18" spans="1:40" ht="15" customHeight="1">
      <c r="A18" s="212"/>
      <c r="B18" s="2533" t="s">
        <v>7</v>
      </c>
      <c r="C18" s="2534"/>
      <c r="D18" s="221">
        <f t="shared" si="0"/>
        <v>0</v>
      </c>
      <c r="E18" s="222">
        <f t="shared" si="0"/>
        <v>0</v>
      </c>
      <c r="F18" s="222">
        <f t="shared" si="1"/>
        <v>0</v>
      </c>
      <c r="G18" s="848">
        <f t="shared" si="2"/>
        <v>0</v>
      </c>
      <c r="H18" s="844">
        <f t="shared" si="3"/>
        <v>0</v>
      </c>
      <c r="I18" s="1142">
        <f t="shared" si="3"/>
        <v>0</v>
      </c>
      <c r="J18" s="1040">
        <f t="shared" ref="J18" si="6">IFERROR(I18/$G$5,0)</f>
        <v>0</v>
      </c>
      <c r="K18" s="223">
        <f t="shared" ref="K18" si="7">SUM(H18,J18)</f>
        <v>0</v>
      </c>
      <c r="V18" s="78"/>
    </row>
    <row r="19" spans="1:40" ht="15" customHeight="1">
      <c r="A19" s="212"/>
      <c r="B19" s="2515" t="s">
        <v>730</v>
      </c>
      <c r="C19" s="2515"/>
      <c r="D19" s="2516"/>
      <c r="E19" s="2515"/>
      <c r="F19" s="2515"/>
      <c r="G19" s="2515"/>
      <c r="H19" s="2515"/>
      <c r="I19" s="2515"/>
      <c r="J19" s="2515"/>
      <c r="K19" s="2515"/>
      <c r="V19" s="78"/>
    </row>
    <row r="20" spans="1:40" ht="15" customHeight="1">
      <c r="A20" s="211" t="s">
        <v>731</v>
      </c>
      <c r="B20" s="224"/>
      <c r="C20" s="225"/>
      <c r="D20" s="225"/>
      <c r="E20" s="225"/>
      <c r="F20" s="225"/>
      <c r="G20" s="225"/>
      <c r="H20" s="225"/>
      <c r="I20" s="226"/>
      <c r="J20" s="226"/>
      <c r="K20" s="1041"/>
      <c r="L20" s="227"/>
      <c r="M20" s="227"/>
      <c r="N20" s="228"/>
      <c r="O20" s="228"/>
      <c r="V20" s="78"/>
    </row>
    <row r="21" spans="1:40" ht="15" customHeight="1">
      <c r="A21" s="2526" t="s">
        <v>732</v>
      </c>
      <c r="B21" s="2526"/>
      <c r="C21" s="2526"/>
      <c r="D21" s="2526"/>
      <c r="E21" s="2526"/>
      <c r="F21" s="2526"/>
      <c r="G21" s="2526"/>
      <c r="H21" s="2526"/>
      <c r="I21" s="2526"/>
      <c r="J21" s="2526"/>
      <c r="K21" s="2526"/>
      <c r="L21" s="229"/>
      <c r="M21" s="229"/>
      <c r="N21" s="229"/>
      <c r="O21" s="229"/>
      <c r="V21" s="78"/>
    </row>
    <row r="22" spans="1:40" ht="15" customHeight="1">
      <c r="A22" s="2526" t="s">
        <v>1210</v>
      </c>
      <c r="B22" s="2526"/>
      <c r="C22" s="2526"/>
      <c r="D22" s="2526"/>
      <c r="E22" s="2526"/>
      <c r="F22" s="2526"/>
      <c r="G22" s="2526"/>
      <c r="H22" s="2526"/>
      <c r="I22" s="2526"/>
      <c r="J22" s="2526"/>
      <c r="K22" s="2526"/>
      <c r="L22" s="229"/>
      <c r="M22" s="229"/>
      <c r="N22" s="229"/>
      <c r="O22" s="229"/>
      <c r="V22" s="78"/>
    </row>
    <row r="23" spans="1:40" ht="15" customHeight="1">
      <c r="A23" s="2526" t="s">
        <v>1211</v>
      </c>
      <c r="B23" s="2526"/>
      <c r="C23" s="2526"/>
      <c r="D23" s="2526"/>
      <c r="E23" s="2526"/>
      <c r="F23" s="2526"/>
      <c r="G23" s="2526"/>
      <c r="H23" s="2526"/>
      <c r="I23" s="2526"/>
      <c r="J23" s="2526"/>
      <c r="K23" s="2526"/>
      <c r="L23" s="229"/>
      <c r="M23" s="229"/>
      <c r="N23" s="229"/>
      <c r="O23" s="229"/>
      <c r="V23" s="78"/>
    </row>
    <row r="24" spans="1:40" ht="15" customHeight="1" thickBot="1">
      <c r="A24" s="2526" t="s">
        <v>1212</v>
      </c>
      <c r="B24" s="2526"/>
      <c r="C24" s="2526"/>
      <c r="D24" s="2526"/>
      <c r="E24" s="2526"/>
      <c r="F24" s="2526"/>
      <c r="G24" s="2526"/>
      <c r="H24" s="2526"/>
      <c r="I24" s="2526"/>
      <c r="J24" s="2526"/>
      <c r="K24" s="2526"/>
      <c r="L24" s="105"/>
      <c r="M24" s="105"/>
      <c r="N24" s="105"/>
      <c r="O24" s="105"/>
      <c r="V24" s="78"/>
    </row>
    <row r="25" spans="1:40" ht="15" customHeight="1" thickBot="1">
      <c r="A25" s="212"/>
      <c r="B25" s="1042" t="s">
        <v>733</v>
      </c>
      <c r="C25" s="225"/>
      <c r="D25" s="225"/>
      <c r="E25" s="225"/>
      <c r="F25" s="225"/>
      <c r="G25" s="226"/>
      <c r="H25" s="226"/>
      <c r="I25" s="1041"/>
      <c r="J25" s="230"/>
      <c r="K25" s="231"/>
      <c r="N25" s="2562" t="s">
        <v>734</v>
      </c>
      <c r="O25" s="2563"/>
      <c r="P25" s="2564"/>
      <c r="Q25" s="2556" t="s">
        <v>735</v>
      </c>
      <c r="R25" s="2557"/>
      <c r="S25" s="2558"/>
      <c r="T25" s="187"/>
      <c r="U25" s="2565" t="s">
        <v>736</v>
      </c>
      <c r="V25" s="2566"/>
      <c r="W25" s="2567" t="s">
        <v>340</v>
      </c>
      <c r="X25" s="2568"/>
      <c r="Y25" s="2568"/>
      <c r="Z25" s="2568"/>
      <c r="AA25" s="2569"/>
      <c r="AC25" s="2572" t="s">
        <v>737</v>
      </c>
      <c r="AD25" s="2573"/>
      <c r="AE25" s="2573"/>
      <c r="AF25" s="2573"/>
      <c r="AG25" s="2573"/>
      <c r="AH25" s="2573"/>
      <c r="AI25" s="2573"/>
      <c r="AJ25" s="2573"/>
      <c r="AK25" s="2573"/>
      <c r="AL25" s="2573"/>
      <c r="AM25" s="2573"/>
      <c r="AN25" s="2574"/>
    </row>
    <row r="26" spans="1:40" ht="15" customHeight="1" thickBot="1">
      <c r="A26" s="149"/>
      <c r="B26" s="144" t="s">
        <v>981</v>
      </c>
      <c r="C26" s="144"/>
      <c r="D26" s="144"/>
      <c r="E26" s="144"/>
      <c r="F26" s="144"/>
      <c r="G26" s="144"/>
      <c r="H26" s="144"/>
      <c r="I26" s="144"/>
      <c r="J26" s="144"/>
      <c r="K26" s="144"/>
      <c r="N26" s="786" t="s">
        <v>738</v>
      </c>
      <c r="O26" s="393" t="s">
        <v>739</v>
      </c>
      <c r="P26" s="391" t="s">
        <v>8</v>
      </c>
      <c r="Q26" s="391" t="s">
        <v>329</v>
      </c>
      <c r="R26" s="391" t="s">
        <v>620</v>
      </c>
      <c r="S26" s="232" t="s">
        <v>621</v>
      </c>
      <c r="T26" s="187"/>
      <c r="U26" s="233"/>
      <c r="V26" s="232" t="s">
        <v>740</v>
      </c>
      <c r="W26" s="234"/>
      <c r="X26" s="235"/>
      <c r="Y26" s="235"/>
      <c r="Z26" s="235"/>
      <c r="AA26" s="236"/>
      <c r="AC26" s="1275" t="s">
        <v>741</v>
      </c>
      <c r="AD26" s="1276" t="s">
        <v>329</v>
      </c>
      <c r="AE26" s="1276" t="s">
        <v>952</v>
      </c>
      <c r="AF26" s="1277" t="s">
        <v>742</v>
      </c>
      <c r="AG26" s="145" t="s">
        <v>356</v>
      </c>
      <c r="AH26" s="1278" t="s">
        <v>91</v>
      </c>
      <c r="AI26" s="1278" t="s">
        <v>8</v>
      </c>
      <c r="AJ26" s="1279" t="s">
        <v>743</v>
      </c>
      <c r="AK26" s="1226" t="s">
        <v>7</v>
      </c>
      <c r="AL26" s="1227" t="s">
        <v>1470</v>
      </c>
      <c r="AM26" s="2570" t="s">
        <v>1516</v>
      </c>
      <c r="AN26" s="2571"/>
    </row>
    <row r="27" spans="1:40" ht="15" customHeight="1" thickBot="1">
      <c r="A27" s="2517" t="s">
        <v>744</v>
      </c>
      <c r="B27" s="2518"/>
      <c r="C27" s="2519" t="s">
        <v>93</v>
      </c>
      <c r="D27" s="2520"/>
      <c r="E27" s="2518"/>
      <c r="F27" s="2519" t="s">
        <v>745</v>
      </c>
      <c r="G27" s="2520"/>
      <c r="H27" s="2518"/>
      <c r="I27" s="965" t="s">
        <v>746</v>
      </c>
      <c r="J27" s="2519" t="s">
        <v>21</v>
      </c>
      <c r="K27" s="2523" t="s">
        <v>747</v>
      </c>
      <c r="N27" s="237" t="str">
        <f>$AF28</f>
        <v>有給</v>
      </c>
      <c r="O27" s="238"/>
      <c r="P27" s="239" t="s">
        <v>740</v>
      </c>
      <c r="Q27" s="239"/>
      <c r="R27" s="239"/>
      <c r="S27" s="240" t="s">
        <v>740</v>
      </c>
      <c r="T27" s="187"/>
      <c r="U27" s="241"/>
      <c r="V27" s="242"/>
      <c r="W27" s="243"/>
      <c r="X27" s="244"/>
      <c r="Y27" s="244"/>
      <c r="Z27" s="244"/>
      <c r="AA27" s="245"/>
      <c r="AC27" s="712"/>
      <c r="AD27" s="715"/>
      <c r="AE27" s="716" t="s">
        <v>72</v>
      </c>
      <c r="AF27" s="715"/>
      <c r="AG27" s="717"/>
      <c r="AH27" s="718"/>
      <c r="AI27" s="718"/>
      <c r="AJ27" s="715" t="s">
        <v>92</v>
      </c>
      <c r="AK27" s="1230"/>
      <c r="AL27" s="323"/>
      <c r="AM27" s="1271"/>
      <c r="AN27" s="1272"/>
    </row>
    <row r="28" spans="1:40" ht="15" customHeight="1" thickTop="1">
      <c r="A28" s="2541" t="s">
        <v>678</v>
      </c>
      <c r="B28" s="2543" t="s">
        <v>748</v>
      </c>
      <c r="C28" s="2545" t="s">
        <v>405</v>
      </c>
      <c r="D28" s="2550" t="s">
        <v>956</v>
      </c>
      <c r="E28" s="2547" t="s">
        <v>749</v>
      </c>
      <c r="F28" s="2549" t="s">
        <v>740</v>
      </c>
      <c r="G28" s="2550" t="s">
        <v>751</v>
      </c>
      <c r="H28" s="2537" t="s">
        <v>752</v>
      </c>
      <c r="I28" s="2539" t="str">
        <f>"("&amp;TEXT($AJ$28,"YYYY/M/D")&amp;"以前)"</f>
        <v>(2025/4/1以前)</v>
      </c>
      <c r="J28" s="2521"/>
      <c r="K28" s="2524"/>
      <c r="N28" s="247"/>
      <c r="O28" s="248"/>
      <c r="P28" s="170"/>
      <c r="Q28" s="170"/>
      <c r="R28" s="170"/>
      <c r="S28" s="249"/>
      <c r="T28" s="187"/>
      <c r="U28" s="250"/>
      <c r="V28" s="249"/>
      <c r="W28" s="251"/>
      <c r="X28" s="252"/>
      <c r="Y28" s="252"/>
      <c r="Z28" s="252"/>
      <c r="AA28" s="253"/>
      <c r="AC28" s="713" t="s">
        <v>728</v>
      </c>
      <c r="AD28" s="106" t="s">
        <v>337</v>
      </c>
      <c r="AE28" s="2559" t="s">
        <v>953</v>
      </c>
      <c r="AF28" s="254" t="s">
        <v>95</v>
      </c>
      <c r="AG28" s="254" t="s">
        <v>91</v>
      </c>
      <c r="AH28" s="255" t="s">
        <v>158</v>
      </c>
      <c r="AI28" s="246" t="s">
        <v>753</v>
      </c>
      <c r="AJ28" s="1229">
        <f>DATE(【様式１】総括表・個票!D10,【様式１】総括表・個票!I10,1)</f>
        <v>45748</v>
      </c>
      <c r="AK28" s="137" t="s">
        <v>69</v>
      </c>
      <c r="AL28" s="326" t="s">
        <v>1471</v>
      </c>
      <c r="AM28" s="785" t="s">
        <v>1517</v>
      </c>
      <c r="AN28" s="1273" t="s">
        <v>1518</v>
      </c>
    </row>
    <row r="29" spans="1:40" ht="15" customHeight="1" thickBot="1">
      <c r="A29" s="2542"/>
      <c r="B29" s="2544"/>
      <c r="C29" s="2546"/>
      <c r="D29" s="2551"/>
      <c r="E29" s="2548"/>
      <c r="F29" s="2546"/>
      <c r="G29" s="2551"/>
      <c r="H29" s="2538"/>
      <c r="I29" s="2540"/>
      <c r="J29" s="2522"/>
      <c r="K29" s="2525"/>
      <c r="N29" s="256"/>
      <c r="O29" s="257"/>
      <c r="P29" s="258"/>
      <c r="Q29" s="258"/>
      <c r="R29" s="258"/>
      <c r="S29" s="259"/>
      <c r="T29" s="187"/>
      <c r="U29" s="260"/>
      <c r="V29" s="259"/>
      <c r="W29" s="261"/>
      <c r="X29" s="262"/>
      <c r="Y29" s="262"/>
      <c r="Z29" s="262"/>
      <c r="AA29" s="263"/>
      <c r="AC29" s="719" t="s">
        <v>954</v>
      </c>
      <c r="AD29" s="106" t="s">
        <v>338</v>
      </c>
      <c r="AE29" s="2559"/>
      <c r="AF29" s="264" t="s">
        <v>755</v>
      </c>
      <c r="AG29" s="254" t="s">
        <v>8</v>
      </c>
      <c r="AH29" s="255" t="s">
        <v>159</v>
      </c>
      <c r="AI29" s="255" t="s">
        <v>756</v>
      </c>
      <c r="AJ29" s="146"/>
      <c r="AK29" s="137" t="s">
        <v>249</v>
      </c>
      <c r="AL29" s="326" t="s">
        <v>1472</v>
      </c>
      <c r="AM29" s="785" t="s">
        <v>1519</v>
      </c>
      <c r="AN29" s="1273" t="s">
        <v>1520</v>
      </c>
    </row>
    <row r="30" spans="1:40" ht="15" customHeight="1">
      <c r="A30" s="265">
        <f>ROW()-ROW($A$29)</f>
        <v>1</v>
      </c>
      <c r="B30" s="266"/>
      <c r="C30" s="1043" t="s">
        <v>1275</v>
      </c>
      <c r="D30" s="1044" t="s">
        <v>955</v>
      </c>
      <c r="E30" s="267"/>
      <c r="F30" s="1043" t="str">
        <f>IF($E30="有給","委託","")</f>
        <v/>
      </c>
      <c r="G30" s="1045" t="str">
        <f>IF(H30&gt;0,"要添付書類➡","-")</f>
        <v>-</v>
      </c>
      <c r="H30" s="1048"/>
      <c r="I30" s="268"/>
      <c r="J30" s="269"/>
      <c r="K30" s="270" t="str">
        <f t="shared" ref="K30:K34" si="8">IF(N30,IF(OR(S30,R30),"エラー",C30),"-")</f>
        <v>-</v>
      </c>
      <c r="N30" s="271" t="b">
        <f>$E30=$N$27</f>
        <v>0</v>
      </c>
      <c r="O30" s="272"/>
      <c r="P30" s="273">
        <f>IF($F30&lt;&gt;$P$27,0,COUNTIF($F30:F$30,$P$27))</f>
        <v>0</v>
      </c>
      <c r="Q30" s="273"/>
      <c r="R30" s="273" t="b">
        <f>$I30&gt;$I$28</f>
        <v>0</v>
      </c>
      <c r="S30" s="274" t="b">
        <f>OR(B30=0,C30=0,F30=0,AND($F30=S$27,OR($H30=0,ISTEXT($H30))),$I30=0)</f>
        <v>1</v>
      </c>
      <c r="T30" s="187"/>
      <c r="U30" s="275"/>
      <c r="V30" s="276">
        <f>IF($F30=V$26,$H30,0)</f>
        <v>0</v>
      </c>
      <c r="W30" s="275"/>
      <c r="X30" s="277"/>
      <c r="Y30" s="277"/>
      <c r="Z30" s="277"/>
      <c r="AA30" s="278"/>
      <c r="AC30" s="714" t="s">
        <v>1270</v>
      </c>
      <c r="AD30" s="106" t="s">
        <v>339</v>
      </c>
      <c r="AE30" s="2559"/>
      <c r="AF30" s="106" t="s">
        <v>96</v>
      </c>
      <c r="AG30" s="254"/>
      <c r="AH30" s="255" t="s">
        <v>757</v>
      </c>
      <c r="AI30" s="255" t="s">
        <v>758</v>
      </c>
      <c r="AJ30" s="146"/>
      <c r="AK30" s="1228"/>
      <c r="AL30" s="326" t="s">
        <v>1473</v>
      </c>
      <c r="AM30" s="785" t="s">
        <v>1071</v>
      </c>
      <c r="AN30" s="1273" t="s">
        <v>1520</v>
      </c>
    </row>
    <row r="31" spans="1:40" ht="15" customHeight="1" thickBot="1">
      <c r="A31" s="279">
        <f>ROW()-ROW($A$29)</f>
        <v>2</v>
      </c>
      <c r="B31" s="280"/>
      <c r="C31" s="969" t="s">
        <v>1644</v>
      </c>
      <c r="D31" s="1046" t="s">
        <v>956</v>
      </c>
      <c r="E31" s="281"/>
      <c r="F31" s="969" t="str">
        <f t="shared" ref="F31:F34" si="9">IF($E31="有給","委託","")</f>
        <v/>
      </c>
      <c r="G31" s="1046" t="str">
        <f t="shared" ref="G31:G34" si="10">IF(H31&gt;0,"要添付書類➡","-")</f>
        <v>-</v>
      </c>
      <c r="H31" s="1049"/>
      <c r="I31" s="111"/>
      <c r="J31" s="283"/>
      <c r="K31" s="284" t="str">
        <f t="shared" si="8"/>
        <v>-</v>
      </c>
      <c r="N31" s="285" t="b">
        <f>$E31=$N$27</f>
        <v>0</v>
      </c>
      <c r="O31" s="286"/>
      <c r="P31" s="287">
        <f>IF($F31&lt;&gt;$P$27,0,COUNTIF($F$30:F31,$P$27))</f>
        <v>0</v>
      </c>
      <c r="Q31" s="287"/>
      <c r="R31" s="287" t="b">
        <f>$I31&gt;$I$28</f>
        <v>0</v>
      </c>
      <c r="S31" s="288" t="b">
        <f>OR(B31=0,C31=0,F31=0,AND($F31=S$27,OR($H31=0,ISTEXT($H31))),$I31=0)</f>
        <v>1</v>
      </c>
      <c r="T31" s="187"/>
      <c r="U31" s="289"/>
      <c r="V31" s="290">
        <f>IF($F31=V$40,$H31,0)</f>
        <v>0</v>
      </c>
      <c r="W31" s="289"/>
      <c r="X31" s="291"/>
      <c r="Y31" s="291"/>
      <c r="Z31" s="292"/>
      <c r="AA31" s="293"/>
      <c r="AC31" s="714" t="s">
        <v>1271</v>
      </c>
      <c r="AD31" s="106" t="s">
        <v>634</v>
      </c>
      <c r="AE31" s="2559"/>
      <c r="AF31" s="106"/>
      <c r="AG31" s="146"/>
      <c r="AH31" s="294" t="s">
        <v>759</v>
      </c>
      <c r="AI31" s="294" t="s">
        <v>759</v>
      </c>
      <c r="AJ31" s="146"/>
      <c r="AL31" s="806"/>
      <c r="AM31" s="785"/>
      <c r="AN31" s="1273"/>
    </row>
    <row r="32" spans="1:40" ht="15" customHeight="1" thickTop="1">
      <c r="A32" s="279">
        <f>ROW()-ROW($A$29)</f>
        <v>3</v>
      </c>
      <c r="B32" s="280"/>
      <c r="C32" s="969" t="s">
        <v>760</v>
      </c>
      <c r="D32" s="1046" t="s">
        <v>956</v>
      </c>
      <c r="E32" s="281"/>
      <c r="F32" s="969" t="str">
        <f t="shared" si="9"/>
        <v/>
      </c>
      <c r="G32" s="1046" t="str">
        <f t="shared" si="10"/>
        <v>-</v>
      </c>
      <c r="H32" s="1049"/>
      <c r="I32" s="111"/>
      <c r="J32" s="283"/>
      <c r="K32" s="284" t="str">
        <f t="shared" si="8"/>
        <v>-</v>
      </c>
      <c r="N32" s="285" t="b">
        <f>$E32=$N$27</f>
        <v>0</v>
      </c>
      <c r="O32" s="286"/>
      <c r="P32" s="287">
        <f>IF($F32&lt;&gt;$P$27,0,COUNTIF($F$30:F32,$P$27))</f>
        <v>0</v>
      </c>
      <c r="Q32" s="287"/>
      <c r="R32" s="287" t="b">
        <f>$I32&gt;$I$28</f>
        <v>0</v>
      </c>
      <c r="S32" s="288" t="b">
        <f>OR(B32=0,C32=0,F32=0,AND($F32=S$27,OR($H32=0,ISTEXT($H32))),$I32=0)</f>
        <v>1</v>
      </c>
      <c r="T32" s="187"/>
      <c r="U32" s="289"/>
      <c r="V32" s="290">
        <f>IF($F32=V$40,$H32,0)</f>
        <v>0</v>
      </c>
      <c r="W32" s="289"/>
      <c r="X32" s="291"/>
      <c r="Y32" s="291"/>
      <c r="Z32" s="292"/>
      <c r="AA32" s="293"/>
      <c r="AC32" s="714" t="s">
        <v>1643</v>
      </c>
      <c r="AD32" s="106"/>
      <c r="AE32" s="2559"/>
      <c r="AF32" s="106"/>
      <c r="AG32" s="146"/>
      <c r="AH32" s="2554" t="s">
        <v>761</v>
      </c>
      <c r="AI32" s="2554"/>
      <c r="AJ32" s="146"/>
      <c r="AL32" s="806"/>
      <c r="AM32" s="785"/>
      <c r="AN32" s="1273"/>
    </row>
    <row r="33" spans="1:40" ht="15" customHeight="1">
      <c r="A33" s="279">
        <f>ROW()-ROW($A$29)</f>
        <v>4</v>
      </c>
      <c r="B33" s="280"/>
      <c r="C33" s="969" t="s">
        <v>762</v>
      </c>
      <c r="D33" s="1046" t="s">
        <v>956</v>
      </c>
      <c r="E33" s="281"/>
      <c r="F33" s="969" t="str">
        <f t="shared" si="9"/>
        <v/>
      </c>
      <c r="G33" s="1046" t="str">
        <f t="shared" si="10"/>
        <v>-</v>
      </c>
      <c r="H33" s="1049"/>
      <c r="I33" s="111"/>
      <c r="J33" s="283"/>
      <c r="K33" s="284" t="str">
        <f t="shared" si="8"/>
        <v>-</v>
      </c>
      <c r="N33" s="285" t="b">
        <f>$E33=$N$27</f>
        <v>0</v>
      </c>
      <c r="O33" s="286"/>
      <c r="P33" s="287">
        <f>IF($F33&lt;&gt;$P$27,0,COUNTIF($F$30:F33,$P$27))</f>
        <v>0</v>
      </c>
      <c r="Q33" s="287"/>
      <c r="R33" s="287" t="b">
        <f>$I33&gt;$I$28</f>
        <v>0</v>
      </c>
      <c r="S33" s="288" t="b">
        <f>OR(B33=0,C33=0,F33=0,AND($F33=S$27,OR($H33=0,ISTEXT($H33))),$I33=0)</f>
        <v>1</v>
      </c>
      <c r="T33" s="187"/>
      <c r="U33" s="289"/>
      <c r="V33" s="290">
        <f>IF($F33=V$40,$H33,0)</f>
        <v>0</v>
      </c>
      <c r="W33" s="289"/>
      <c r="X33" s="291"/>
      <c r="Y33" s="291"/>
      <c r="Z33" s="292"/>
      <c r="AA33" s="293"/>
      <c r="AC33" s="714" t="s">
        <v>157</v>
      </c>
      <c r="AD33" s="145"/>
      <c r="AE33" s="2559"/>
      <c r="AF33" s="106"/>
      <c r="AG33" s="146"/>
      <c r="AH33" s="2555"/>
      <c r="AI33" s="2555"/>
      <c r="AJ33" s="146"/>
      <c r="AL33" s="806"/>
      <c r="AM33" s="785"/>
      <c r="AN33" s="1273"/>
    </row>
    <row r="34" spans="1:40" ht="15" customHeight="1" thickBot="1">
      <c r="A34" s="296">
        <f>ROW()-ROW($A$29)</f>
        <v>5</v>
      </c>
      <c r="B34" s="297"/>
      <c r="C34" s="970" t="s">
        <v>763</v>
      </c>
      <c r="D34" s="1047" t="s">
        <v>956</v>
      </c>
      <c r="E34" s="298"/>
      <c r="F34" s="970" t="str">
        <f t="shared" si="9"/>
        <v/>
      </c>
      <c r="G34" s="1047" t="str">
        <f t="shared" si="10"/>
        <v>-</v>
      </c>
      <c r="H34" s="1050"/>
      <c r="I34" s="300"/>
      <c r="J34" s="301"/>
      <c r="K34" s="302" t="str">
        <f t="shared" si="8"/>
        <v>-</v>
      </c>
      <c r="N34" s="303" t="b">
        <f>$E34=$N$27</f>
        <v>0</v>
      </c>
      <c r="O34" s="304"/>
      <c r="P34" s="305">
        <f>IF($F34&lt;&gt;$P$27,0,COUNTIF($F$30:F34,$P$27))</f>
        <v>0</v>
      </c>
      <c r="Q34" s="305"/>
      <c r="R34" s="305" t="b">
        <f>$I34&gt;$I$28</f>
        <v>0</v>
      </c>
      <c r="S34" s="306" t="b">
        <f>OR(B34=0,C34=0,F34=0,AND($F34=S$27,OR($H34=0,ISTEXT($H34))),$I34=0)</f>
        <v>1</v>
      </c>
      <c r="T34" s="187"/>
      <c r="U34" s="307"/>
      <c r="V34" s="308">
        <f>IF($F34=V$40,$H34,0)</f>
        <v>0</v>
      </c>
      <c r="W34" s="307"/>
      <c r="X34" s="309"/>
      <c r="Y34" s="309"/>
      <c r="Z34" s="310"/>
      <c r="AA34" s="311"/>
      <c r="AC34" s="714" t="s">
        <v>336</v>
      </c>
      <c r="AD34" s="146"/>
      <c r="AE34" s="2559"/>
      <c r="AF34" s="146"/>
      <c r="AG34" s="146"/>
      <c r="AH34" s="2555"/>
      <c r="AI34" s="2555"/>
      <c r="AJ34" s="146"/>
      <c r="AL34" s="806"/>
      <c r="AM34" s="785"/>
      <c r="AN34" s="1273"/>
    </row>
    <row r="35" spans="1:40" ht="15" customHeight="1">
      <c r="A35" s="617"/>
      <c r="B35" s="1231" t="s">
        <v>765</v>
      </c>
      <c r="C35" s="1000"/>
      <c r="D35" s="1000"/>
      <c r="E35" s="1000"/>
      <c r="F35" s="1000"/>
      <c r="G35" s="1000"/>
      <c r="H35" s="1000"/>
      <c r="I35" s="1000"/>
      <c r="J35" s="1000"/>
      <c r="K35" s="1000"/>
      <c r="L35" s="1000"/>
      <c r="M35" s="1000"/>
      <c r="N35" s="1224"/>
      <c r="O35" s="1224"/>
      <c r="P35" s="1224"/>
      <c r="Q35" s="1224"/>
      <c r="R35" s="1224"/>
      <c r="S35" s="1224"/>
      <c r="T35" s="187"/>
      <c r="U35" s="1225"/>
      <c r="V35" s="1225"/>
      <c r="W35" s="1225"/>
      <c r="X35" s="1225"/>
      <c r="Y35" s="1225"/>
      <c r="Z35" s="1225"/>
      <c r="AA35" s="1225"/>
      <c r="AC35" s="295" t="s">
        <v>977</v>
      </c>
      <c r="AE35" s="2559"/>
      <c r="AF35" s="146"/>
      <c r="AG35" s="146"/>
      <c r="AH35" s="2555"/>
      <c r="AI35" s="2555"/>
      <c r="AJ35" s="146"/>
      <c r="AL35" s="806"/>
      <c r="AM35" s="785"/>
      <c r="AN35" s="1273"/>
    </row>
    <row r="36" spans="1:40" ht="15" customHeight="1">
      <c r="A36" s="617"/>
      <c r="B36" s="144" t="s">
        <v>1522</v>
      </c>
      <c r="C36" s="144"/>
      <c r="D36" s="144"/>
      <c r="E36" s="144"/>
      <c r="F36" s="144"/>
      <c r="G36" s="144"/>
      <c r="I36" s="1232" t="s">
        <v>1474</v>
      </c>
      <c r="J36" s="1232" t="s">
        <v>1475</v>
      </c>
      <c r="K36" s="1232" t="s">
        <v>1476</v>
      </c>
      <c r="L36" s="921" t="s">
        <v>94</v>
      </c>
      <c r="M36" s="921"/>
      <c r="N36" s="1224"/>
      <c r="O36" s="1224"/>
      <c r="P36" s="1224"/>
      <c r="Q36" s="1224"/>
      <c r="R36" s="1224"/>
      <c r="S36" s="1224"/>
      <c r="T36" s="187"/>
      <c r="U36" s="1225"/>
      <c r="V36" s="1225"/>
      <c r="W36" s="1225"/>
      <c r="X36" s="1225"/>
      <c r="Y36" s="1225"/>
      <c r="Z36" s="1225"/>
      <c r="AA36" s="1225"/>
      <c r="AC36" s="295" t="s">
        <v>7</v>
      </c>
      <c r="AE36" s="2559"/>
      <c r="AH36" s="2555"/>
      <c r="AI36" s="2555"/>
      <c r="AL36" s="806"/>
      <c r="AM36" s="785"/>
      <c r="AN36" s="1273"/>
    </row>
    <row r="37" spans="1:40" ht="15" customHeight="1" thickBot="1">
      <c r="A37" s="617"/>
      <c r="B37" s="2552" t="str">
        <f>IFERROR(INDEX($B$44:$B$143,MATCH(TRUE,$O$44:$O$143,0)),"")</f>
        <v/>
      </c>
      <c r="C37" s="1485" t="s">
        <v>1477</v>
      </c>
      <c r="D37" s="1485"/>
      <c r="E37" s="1485"/>
      <c r="F37" s="1485"/>
      <c r="G37" s="1485"/>
      <c r="H37" s="1485"/>
      <c r="I37" s="1233" t="str">
        <f>IF(【様式５】職員数算出表!L25&gt;=4,"○","×")</f>
        <v>×</v>
      </c>
      <c r="J37" s="1234"/>
      <c r="K37" s="2576" t="str">
        <f>IF($B$37="","-",IF(AND($B$37&lt;&gt;"",$L$37),IF($L$38,$AC$30,$AC$36),IF(AND($L$38,$L$39,$L$40),$AC$30,$AC$36)))</f>
        <v>-</v>
      </c>
      <c r="L37" s="314" t="b">
        <f>【様式５】職員数算出表!L25&gt;=4</f>
        <v>0</v>
      </c>
      <c r="M37" s="314"/>
      <c r="N37" s="1224"/>
      <c r="O37" s="1224"/>
      <c r="P37" s="1224"/>
      <c r="Q37" s="1224"/>
      <c r="R37" s="1224"/>
      <c r="S37" s="1224"/>
      <c r="T37" s="187"/>
      <c r="U37" s="1225"/>
      <c r="V37" s="1225"/>
      <c r="W37" s="1225"/>
      <c r="X37" s="1225"/>
      <c r="Y37" s="1225"/>
      <c r="Z37" s="1225"/>
      <c r="AA37" s="1225"/>
      <c r="AC37" s="313" t="s">
        <v>764</v>
      </c>
      <c r="AD37" s="807"/>
      <c r="AE37" s="427"/>
      <c r="AF37" s="427"/>
      <c r="AG37" s="427"/>
      <c r="AH37" s="427"/>
      <c r="AI37" s="427"/>
      <c r="AJ37" s="427"/>
      <c r="AK37" s="427"/>
      <c r="AL37" s="536"/>
      <c r="AM37" s="313"/>
      <c r="AN37" s="1274"/>
    </row>
    <row r="38" spans="1:40" ht="15" customHeight="1">
      <c r="A38" s="144"/>
      <c r="B38" s="2553"/>
      <c r="C38" s="2575" t="str">
        <f>IF(OR(D42="幼保",B37=""),"-","要件②　"&amp;$B$37&amp;" 職員が"&amp;VLOOKUP(D42,$AM$27:$AN$31,2,0))</f>
        <v>-</v>
      </c>
      <c r="D38" s="2575"/>
      <c r="E38" s="2575"/>
      <c r="F38" s="2575"/>
      <c r="G38" s="2575"/>
      <c r="H38" s="2575"/>
      <c r="I38" s="1280"/>
      <c r="J38" s="1237" t="str">
        <f>IF(C38="-","",IF(I38="","←入力漏れ",""))</f>
        <v/>
      </c>
      <c r="K38" s="2577"/>
      <c r="L38" s="1236" t="b">
        <f>OR(I38="○",D42="幼保")</f>
        <v>1</v>
      </c>
      <c r="M38" s="1236"/>
      <c r="V38" s="78"/>
    </row>
    <row r="39" spans="1:40" ht="15" customHeight="1" thickBot="1">
      <c r="A39" s="144"/>
      <c r="B39" s="2553"/>
      <c r="C39" s="1485" t="s">
        <v>1514</v>
      </c>
      <c r="D39" s="1485"/>
      <c r="E39" s="1485"/>
      <c r="F39" s="1485"/>
      <c r="G39" s="1485"/>
      <c r="H39" s="1485"/>
      <c r="I39" s="1281"/>
      <c r="J39" s="1235" t="str">
        <f>IF(OR(B37="",I37="○"),"",IF(I39="","←入力漏れ",""))</f>
        <v/>
      </c>
      <c r="K39" s="2577"/>
      <c r="L39" s="1236" t="b">
        <f>I39="○"</f>
        <v>0</v>
      </c>
      <c r="M39" s="1236"/>
      <c r="V39" s="78"/>
    </row>
    <row r="40" spans="1:40" ht="15" customHeight="1" thickBot="1">
      <c r="A40" s="144"/>
      <c r="B40" s="2553"/>
      <c r="C40" s="1427" t="s">
        <v>1515</v>
      </c>
      <c r="D40" s="1427"/>
      <c r="E40" s="1427"/>
      <c r="F40" s="1427"/>
      <c r="G40" s="1427"/>
      <c r="H40" s="1427"/>
      <c r="I40" s="1280"/>
      <c r="J40" s="1237" t="str">
        <f>IF(OR(B37="",I37="○"),"",IF(I40=AL28,"-",IF(I40=AL29,"研修終了証を要提出",IF(I40=AL30,"-","←入力漏れ"))))</f>
        <v/>
      </c>
      <c r="K40" s="2577"/>
      <c r="L40" s="1236" t="b">
        <f>OR(I40=AL28,I40=AL29)</f>
        <v>0</v>
      </c>
      <c r="M40" s="1236"/>
      <c r="N40" s="786" t="s">
        <v>738</v>
      </c>
      <c r="O40" s="393" t="s">
        <v>739</v>
      </c>
      <c r="P40" s="391" t="s">
        <v>8</v>
      </c>
      <c r="Q40" s="391" t="s">
        <v>329</v>
      </c>
      <c r="R40" s="391" t="s">
        <v>620</v>
      </c>
      <c r="S40" s="232" t="s">
        <v>621</v>
      </c>
      <c r="T40" s="187"/>
      <c r="U40" s="315" t="str">
        <f>AG28</f>
        <v>常勤</v>
      </c>
      <c r="V40" s="316" t="str">
        <f>AG29</f>
        <v>非常勤</v>
      </c>
      <c r="W40" s="317" t="str">
        <f>AG28</f>
        <v>常勤</v>
      </c>
      <c r="X40" s="318" t="str">
        <f>W40</f>
        <v>常勤</v>
      </c>
      <c r="Y40" s="318" t="str">
        <f>X40</f>
        <v>常勤</v>
      </c>
      <c r="Z40" s="318" t="str">
        <f>Y40</f>
        <v>常勤</v>
      </c>
      <c r="AA40" s="319" t="str">
        <f>AG29</f>
        <v>非常勤</v>
      </c>
    </row>
    <row r="41" spans="1:40" ht="15" customHeight="1">
      <c r="A41" s="2517" t="s">
        <v>541</v>
      </c>
      <c r="B41" s="2518"/>
      <c r="C41" s="2519" t="s">
        <v>93</v>
      </c>
      <c r="D41" s="2520"/>
      <c r="E41" s="2518"/>
      <c r="F41" s="2519" t="s">
        <v>745</v>
      </c>
      <c r="G41" s="2520"/>
      <c r="H41" s="2518"/>
      <c r="I41" s="965" t="s">
        <v>766</v>
      </c>
      <c r="J41" s="2519" t="s">
        <v>21</v>
      </c>
      <c r="K41" s="2523" t="s">
        <v>747</v>
      </c>
      <c r="L41" s="312"/>
      <c r="M41" s="312"/>
      <c r="N41" s="237" t="str">
        <f>$AF28</f>
        <v>有給</v>
      </c>
      <c r="O41" s="238" t="b">
        <v>1</v>
      </c>
      <c r="P41" s="239" t="str">
        <f>$AG$29</f>
        <v>非常勤</v>
      </c>
      <c r="Q41" s="239" t="b">
        <f>AE27="○"</f>
        <v>1</v>
      </c>
      <c r="R41" s="239"/>
      <c r="S41" s="240" t="str">
        <f>$AG$29</f>
        <v>非常勤</v>
      </c>
      <c r="T41" s="187"/>
      <c r="U41" s="320"/>
      <c r="V41" s="242"/>
      <c r="W41" s="321" t="str">
        <f>AH28</f>
        <v>正職</v>
      </c>
      <c r="X41" s="322" t="str">
        <f>AH29</f>
        <v>臨職</v>
      </c>
      <c r="Y41" s="322" t="str">
        <f>AH30</f>
        <v>派遣契約</v>
      </c>
      <c r="Z41" s="322" t="str">
        <f>AH31</f>
        <v>嘱託契約</v>
      </c>
      <c r="AA41" s="323"/>
    </row>
    <row r="42" spans="1:40" ht="15" customHeight="1">
      <c r="A42" s="2541" t="s">
        <v>767</v>
      </c>
      <c r="B42" s="2543">
        <f>COUNTA(B44:B143)</f>
        <v>0</v>
      </c>
      <c r="C42" s="706" t="s">
        <v>951</v>
      </c>
      <c r="D42" s="2535" t="str">
        <f>【様式１】総括表・個票!R12</f>
        <v>幼保</v>
      </c>
      <c r="E42" s="2536"/>
      <c r="F42" s="2560" t="s">
        <v>768</v>
      </c>
      <c r="G42" s="2550" t="s">
        <v>769</v>
      </c>
      <c r="H42" s="2537" t="str">
        <f>IF(SUM($H$44:$H$143)&lt;&gt;【様式３】シフト表!$AK$107,"エラー：シフト表と不一致","非常勤の勤務時間/月")</f>
        <v>非常勤の勤務時間/月</v>
      </c>
      <c r="I42" s="2539" t="str">
        <f>"("&amp;TEXT($AJ$28,"YYYY/M/D")&amp;"以前)"</f>
        <v>(2025/4/1以前)</v>
      </c>
      <c r="J42" s="2521"/>
      <c r="K42" s="2524"/>
      <c r="L42" s="312"/>
      <c r="M42" s="312"/>
      <c r="N42" s="247"/>
      <c r="O42" s="248" t="str">
        <f>AC37</f>
        <v>看護師・保健師</v>
      </c>
      <c r="P42" s="324"/>
      <c r="Q42" s="324"/>
      <c r="R42" s="170"/>
      <c r="S42" s="249"/>
      <c r="T42" s="187"/>
      <c r="U42" s="247"/>
      <c r="V42" s="249"/>
      <c r="W42" s="325"/>
      <c r="X42" s="264"/>
      <c r="Y42" s="264"/>
      <c r="Z42" s="264"/>
      <c r="AA42" s="326"/>
    </row>
    <row r="43" spans="1:40" ht="15" customHeight="1" thickBot="1">
      <c r="A43" s="2542"/>
      <c r="B43" s="2544"/>
      <c r="C43" s="707" t="s">
        <v>405</v>
      </c>
      <c r="D43" s="705" t="s">
        <v>329</v>
      </c>
      <c r="E43" s="708" t="s">
        <v>98</v>
      </c>
      <c r="F43" s="2561"/>
      <c r="G43" s="2551"/>
      <c r="H43" s="2538"/>
      <c r="I43" s="2540"/>
      <c r="J43" s="2522"/>
      <c r="K43" s="2525"/>
      <c r="L43" s="312"/>
      <c r="M43" s="312"/>
      <c r="N43" s="256"/>
      <c r="O43" s="257"/>
      <c r="P43" s="258"/>
      <c r="Q43" s="258"/>
      <c r="R43" s="258"/>
      <c r="S43" s="259"/>
      <c r="T43" s="187"/>
      <c r="U43" s="256"/>
      <c r="V43" s="259"/>
      <c r="W43" s="327"/>
      <c r="X43" s="328"/>
      <c r="Y43" s="328"/>
      <c r="Z43" s="328"/>
      <c r="AA43" s="329"/>
    </row>
    <row r="44" spans="1:40" ht="15" customHeight="1">
      <c r="A44" s="330">
        <f>ROW()-ROW($A$43)</f>
        <v>1</v>
      </c>
      <c r="B44" s="331"/>
      <c r="C44" s="332"/>
      <c r="D44" s="709"/>
      <c r="E44" s="333"/>
      <c r="F44" s="332"/>
      <c r="G44" s="334"/>
      <c r="H44" s="335">
        <f>IFERROR(INDEX(【様式３】シフト表!$AK$7:$AK$106,MATCH($P44,【様式３】シフト表!$B$7:$B$106,0),1),0)</f>
        <v>0</v>
      </c>
      <c r="I44" s="336"/>
      <c r="J44" s="337"/>
      <c r="K44" s="338" t="str">
        <f>IF($B$37=B44,$K$37,IF(N44,IF(OR(S44,R44),"エラー",IF($C44=$AC$37,IF(O44,$AC$30,$AC$36),IF(OR($C44=$AC$30,$C44=$AC$31),IF(Q44,C44,$AC$36),IF(C44=$AC$29,$AC$30,C44)))),"-"))</f>
        <v>-</v>
      </c>
      <c r="L44" s="136"/>
      <c r="M44" s="136"/>
      <c r="N44" s="271" t="b">
        <f t="shared" ref="N44:N75" si="11">$E44=$N$41</f>
        <v>0</v>
      </c>
      <c r="O44" s="339" t="b">
        <f>AND($O$41,C44=$O$42,N44,COUNTIF($O$43:$O43,TRUE)=0)</f>
        <v>0</v>
      </c>
      <c r="P44" s="273">
        <f>IF($F44&lt;&gt;$P$41,0,COUNTIF($F$44:F44,$P$41))</f>
        <v>0</v>
      </c>
      <c r="Q44" s="273" t="b">
        <f t="shared" ref="Q44:Q75" si="12">OR($D44=$AD$28,AND($D$42="幼保",$Q$41,OR($D44=$AD$29,$D44=$AD$30)),AND($D$42="幼認",$D44=$AD$29),AND($D$42="保認",$D44=$AD$30),AND($D$42="地裁",OR($D44=$AD$29,$D44=$AD$30)))</f>
        <v>0</v>
      </c>
      <c r="R44" s="273" t="b">
        <f t="shared" ref="R44:R75" si="13">OR($I44&gt;$I$42,AND($F44=$AG$28,$G44&lt;&gt;$AH$28,$G44&lt;&gt;$AH$29,$G44&lt;&gt;$AH$30,$G44&lt;&gt;$AH$31),AND($F44=$AG$29,$G44&lt;&gt;$AI$28,$G44&lt;&gt;$AI$29,$G44&lt;&gt;$AI$30,$G44&lt;&gt;$AI$31))</f>
        <v>0</v>
      </c>
      <c r="S44" s="274" t="b">
        <f t="shared" ref="S44:S75" si="14">OR($B44=0,$C44=0,$F44=0,AND($F44&lt;&gt;0,$G44=0),AND($F44=S$41,$H44=0),$I44=0)</f>
        <v>1</v>
      </c>
      <c r="T44" s="187"/>
      <c r="U44" s="340">
        <f t="shared" ref="U44:U75" si="15">IF($F44=U$40,1,0)</f>
        <v>0</v>
      </c>
      <c r="V44" s="276">
        <f t="shared" ref="V44:V75" si="16">IF($F44=V$40,$H44,0)</f>
        <v>0</v>
      </c>
      <c r="W44" s="340">
        <f t="shared" ref="W44:Z63" si="17">IF(AND($F44=W$40,$G44=W$41),$K44,0)</f>
        <v>0</v>
      </c>
      <c r="X44" s="341">
        <f t="shared" si="17"/>
        <v>0</v>
      </c>
      <c r="Y44" s="341">
        <f t="shared" si="17"/>
        <v>0</v>
      </c>
      <c r="Z44" s="342">
        <f t="shared" si="17"/>
        <v>0</v>
      </c>
      <c r="AA44" s="276">
        <f t="shared" ref="AA44:AA75" si="18">IF($F44=AA$40,$K44,0)</f>
        <v>0</v>
      </c>
    </row>
    <row r="45" spans="1:40" ht="15" customHeight="1">
      <c r="A45" s="343">
        <f>A44+1</f>
        <v>2</v>
      </c>
      <c r="B45" s="280"/>
      <c r="C45" s="344"/>
      <c r="D45" s="710"/>
      <c r="E45" s="281"/>
      <c r="F45" s="344"/>
      <c r="G45" s="282"/>
      <c r="H45" s="345">
        <f>IFERROR(INDEX(【様式３】シフト表!$AK$7:$AK$106,MATCH($P45,【様式３】シフト表!$B$7:$B$106,0),1),0)</f>
        <v>0</v>
      </c>
      <c r="I45" s="111"/>
      <c r="J45" s="283"/>
      <c r="K45" s="284" t="str">
        <f t="shared" ref="K45:K108" si="19">IF($B$37=B45,$K$37,IF(N45,IF(OR(S45,R45),"エラー",IF($C45=$AC$37,IF(O45,$AC$30,$AC$36),IF(OR($C45=$AC$30,$C45=$AC$31),IF(Q45,C45,$AC$36),IF(C45=$AC$29,$AC$30,C45)))),"-"))</f>
        <v>-</v>
      </c>
      <c r="L45" s="136"/>
      <c r="M45" s="136"/>
      <c r="N45" s="285" t="b">
        <f t="shared" si="11"/>
        <v>0</v>
      </c>
      <c r="O45" s="346" t="b">
        <f>AND($O$41,C45=$O$42,N45,COUNTIF($O$43:$O44,TRUE)=0)</f>
        <v>0</v>
      </c>
      <c r="P45" s="287">
        <f>IF($F45&lt;&gt;$P$41,0,COUNTIF($F$44:F45,$P$41))</f>
        <v>0</v>
      </c>
      <c r="Q45" s="287" t="b">
        <f t="shared" si="12"/>
        <v>0</v>
      </c>
      <c r="R45" s="287" t="b">
        <f t="shared" si="13"/>
        <v>0</v>
      </c>
      <c r="S45" s="288" t="b">
        <f t="shared" si="14"/>
        <v>1</v>
      </c>
      <c r="T45" s="187"/>
      <c r="U45" s="347">
        <f t="shared" si="15"/>
        <v>0</v>
      </c>
      <c r="V45" s="290">
        <f t="shared" si="16"/>
        <v>0</v>
      </c>
      <c r="W45" s="347">
        <f t="shared" si="17"/>
        <v>0</v>
      </c>
      <c r="X45" s="290">
        <f t="shared" si="17"/>
        <v>0</v>
      </c>
      <c r="Y45" s="290">
        <f t="shared" si="17"/>
        <v>0</v>
      </c>
      <c r="Z45" s="348">
        <f t="shared" si="17"/>
        <v>0</v>
      </c>
      <c r="AA45" s="349">
        <f t="shared" si="18"/>
        <v>0</v>
      </c>
    </row>
    <row r="46" spans="1:40" ht="15" customHeight="1">
      <c r="A46" s="343">
        <f t="shared" ref="A46:A109" si="20">A45+1</f>
        <v>3</v>
      </c>
      <c r="B46" s="280"/>
      <c r="C46" s="344"/>
      <c r="D46" s="710"/>
      <c r="E46" s="281"/>
      <c r="F46" s="344"/>
      <c r="G46" s="282"/>
      <c r="H46" s="345">
        <f>IFERROR(INDEX(【様式３】シフト表!$AK$7:$AK$106,MATCH($P46,【様式３】シフト表!$B$7:$B$106,0),1),0)</f>
        <v>0</v>
      </c>
      <c r="I46" s="111"/>
      <c r="J46" s="283"/>
      <c r="K46" s="284" t="str">
        <f t="shared" si="19"/>
        <v>-</v>
      </c>
      <c r="L46" s="136"/>
      <c r="M46" s="136"/>
      <c r="N46" s="285" t="b">
        <f t="shared" si="11"/>
        <v>0</v>
      </c>
      <c r="O46" s="346" t="b">
        <f>AND($O$41,C46=$O$42,N46,COUNTIF($O$43:$O45,TRUE)=0)</f>
        <v>0</v>
      </c>
      <c r="P46" s="287">
        <f>IF($F46&lt;&gt;$P$41,0,COUNTIF($F$44:F46,$P$41))</f>
        <v>0</v>
      </c>
      <c r="Q46" s="287" t="b">
        <f t="shared" si="12"/>
        <v>0</v>
      </c>
      <c r="R46" s="287" t="b">
        <f t="shared" si="13"/>
        <v>0</v>
      </c>
      <c r="S46" s="288" t="b">
        <f t="shared" si="14"/>
        <v>1</v>
      </c>
      <c r="T46" s="187"/>
      <c r="U46" s="347">
        <f t="shared" si="15"/>
        <v>0</v>
      </c>
      <c r="V46" s="290">
        <f t="shared" si="16"/>
        <v>0</v>
      </c>
      <c r="W46" s="347">
        <f t="shared" si="17"/>
        <v>0</v>
      </c>
      <c r="X46" s="290">
        <f t="shared" si="17"/>
        <v>0</v>
      </c>
      <c r="Y46" s="290">
        <f t="shared" si="17"/>
        <v>0</v>
      </c>
      <c r="Z46" s="348">
        <f t="shared" si="17"/>
        <v>0</v>
      </c>
      <c r="AA46" s="349">
        <f t="shared" si="18"/>
        <v>0</v>
      </c>
    </row>
    <row r="47" spans="1:40" ht="15" customHeight="1">
      <c r="A47" s="343">
        <f t="shared" si="20"/>
        <v>4</v>
      </c>
      <c r="B47" s="280"/>
      <c r="C47" s="344"/>
      <c r="D47" s="710"/>
      <c r="E47" s="281"/>
      <c r="F47" s="344"/>
      <c r="G47" s="282"/>
      <c r="H47" s="345">
        <f>IFERROR(INDEX(【様式３】シフト表!$AK$7:$AK$106,MATCH($P47,【様式３】シフト表!$B$7:$B$106,0),1),0)</f>
        <v>0</v>
      </c>
      <c r="I47" s="111"/>
      <c r="J47" s="283"/>
      <c r="K47" s="284" t="str">
        <f t="shared" si="19"/>
        <v>-</v>
      </c>
      <c r="L47" s="136"/>
      <c r="M47" s="136"/>
      <c r="N47" s="285" t="b">
        <f t="shared" si="11"/>
        <v>0</v>
      </c>
      <c r="O47" s="346" t="b">
        <f>AND($O$41,C47=$O$42,N47,COUNTIF($O$43:$O46,TRUE)=0)</f>
        <v>0</v>
      </c>
      <c r="P47" s="287">
        <f>IF($F47&lt;&gt;$P$41,0,COUNTIF($F$44:F47,$P$41))</f>
        <v>0</v>
      </c>
      <c r="Q47" s="287" t="b">
        <f t="shared" si="12"/>
        <v>0</v>
      </c>
      <c r="R47" s="287" t="b">
        <f t="shared" si="13"/>
        <v>0</v>
      </c>
      <c r="S47" s="288" t="b">
        <f t="shared" si="14"/>
        <v>1</v>
      </c>
      <c r="T47" s="187"/>
      <c r="U47" s="347">
        <f t="shared" si="15"/>
        <v>0</v>
      </c>
      <c r="V47" s="290">
        <f t="shared" si="16"/>
        <v>0</v>
      </c>
      <c r="W47" s="347">
        <f t="shared" si="17"/>
        <v>0</v>
      </c>
      <c r="X47" s="290">
        <f t="shared" si="17"/>
        <v>0</v>
      </c>
      <c r="Y47" s="290">
        <f t="shared" si="17"/>
        <v>0</v>
      </c>
      <c r="Z47" s="348">
        <f t="shared" si="17"/>
        <v>0</v>
      </c>
      <c r="AA47" s="349">
        <f t="shared" si="18"/>
        <v>0</v>
      </c>
    </row>
    <row r="48" spans="1:40" ht="15" customHeight="1">
      <c r="A48" s="343">
        <f t="shared" si="20"/>
        <v>5</v>
      </c>
      <c r="B48" s="280"/>
      <c r="C48" s="344"/>
      <c r="D48" s="710"/>
      <c r="E48" s="281"/>
      <c r="F48" s="344"/>
      <c r="G48" s="282"/>
      <c r="H48" s="345">
        <f>IFERROR(INDEX(【様式３】シフト表!$AK$7:$AK$106,MATCH($P48,【様式３】シフト表!$B$7:$B$106,0),1),0)</f>
        <v>0</v>
      </c>
      <c r="I48" s="111"/>
      <c r="J48" s="283"/>
      <c r="K48" s="284" t="str">
        <f t="shared" si="19"/>
        <v>-</v>
      </c>
      <c r="L48" s="136"/>
      <c r="M48" s="136"/>
      <c r="N48" s="285" t="b">
        <f t="shared" si="11"/>
        <v>0</v>
      </c>
      <c r="O48" s="346" t="b">
        <f>AND($O$41,C48=$O$42,N48,COUNTIF($O$43:$O47,TRUE)=0)</f>
        <v>0</v>
      </c>
      <c r="P48" s="287">
        <f>IF($F48&lt;&gt;$P$41,0,COUNTIF($F$44:F48,$P$41))</f>
        <v>0</v>
      </c>
      <c r="Q48" s="287" t="b">
        <f t="shared" si="12"/>
        <v>0</v>
      </c>
      <c r="R48" s="287" t="b">
        <f t="shared" si="13"/>
        <v>0</v>
      </c>
      <c r="S48" s="288" t="b">
        <f t="shared" si="14"/>
        <v>1</v>
      </c>
      <c r="T48" s="187"/>
      <c r="U48" s="347">
        <f t="shared" si="15"/>
        <v>0</v>
      </c>
      <c r="V48" s="290">
        <f t="shared" si="16"/>
        <v>0</v>
      </c>
      <c r="W48" s="347">
        <f t="shared" si="17"/>
        <v>0</v>
      </c>
      <c r="X48" s="290">
        <f t="shared" si="17"/>
        <v>0</v>
      </c>
      <c r="Y48" s="290">
        <f t="shared" si="17"/>
        <v>0</v>
      </c>
      <c r="Z48" s="348">
        <f t="shared" si="17"/>
        <v>0</v>
      </c>
      <c r="AA48" s="349">
        <f t="shared" si="18"/>
        <v>0</v>
      </c>
    </row>
    <row r="49" spans="1:27" ht="15" customHeight="1">
      <c r="A49" s="343">
        <f t="shared" si="20"/>
        <v>6</v>
      </c>
      <c r="B49" s="280"/>
      <c r="C49" s="344"/>
      <c r="D49" s="710"/>
      <c r="E49" s="281"/>
      <c r="F49" s="344"/>
      <c r="G49" s="282"/>
      <c r="H49" s="345">
        <f>IFERROR(INDEX(【様式３】シフト表!$AK$7:$AK$106,MATCH($P49,【様式３】シフト表!$B$7:$B$106,0),1),0)</f>
        <v>0</v>
      </c>
      <c r="I49" s="111"/>
      <c r="J49" s="283"/>
      <c r="K49" s="284" t="str">
        <f t="shared" si="19"/>
        <v>-</v>
      </c>
      <c r="L49" s="136"/>
      <c r="M49" s="136"/>
      <c r="N49" s="285" t="b">
        <f t="shared" si="11"/>
        <v>0</v>
      </c>
      <c r="O49" s="346" t="b">
        <f>AND($O$41,C49=$O$42,N49,COUNTIF($O$43:$O48,TRUE)=0)</f>
        <v>0</v>
      </c>
      <c r="P49" s="287">
        <f>IF($F49&lt;&gt;$P$41,0,COUNTIF($F$44:F49,$P$41))</f>
        <v>0</v>
      </c>
      <c r="Q49" s="287" t="b">
        <f t="shared" si="12"/>
        <v>0</v>
      </c>
      <c r="R49" s="287" t="b">
        <f t="shared" si="13"/>
        <v>0</v>
      </c>
      <c r="S49" s="288" t="b">
        <f t="shared" si="14"/>
        <v>1</v>
      </c>
      <c r="T49" s="187"/>
      <c r="U49" s="347">
        <f t="shared" si="15"/>
        <v>0</v>
      </c>
      <c r="V49" s="290">
        <f t="shared" si="16"/>
        <v>0</v>
      </c>
      <c r="W49" s="347">
        <f t="shared" si="17"/>
        <v>0</v>
      </c>
      <c r="X49" s="290">
        <f t="shared" si="17"/>
        <v>0</v>
      </c>
      <c r="Y49" s="290">
        <f t="shared" si="17"/>
        <v>0</v>
      </c>
      <c r="Z49" s="348">
        <f t="shared" si="17"/>
        <v>0</v>
      </c>
      <c r="AA49" s="349">
        <f t="shared" si="18"/>
        <v>0</v>
      </c>
    </row>
    <row r="50" spans="1:27" ht="15" customHeight="1">
      <c r="A50" s="343">
        <f t="shared" si="20"/>
        <v>7</v>
      </c>
      <c r="B50" s="280"/>
      <c r="C50" s="344"/>
      <c r="D50" s="710"/>
      <c r="E50" s="281"/>
      <c r="F50" s="344"/>
      <c r="G50" s="282"/>
      <c r="H50" s="345">
        <f>IFERROR(INDEX(【様式３】シフト表!$AK$7:$AK$106,MATCH($P50,【様式３】シフト表!$B$7:$B$106,0),1),0)</f>
        <v>0</v>
      </c>
      <c r="I50" s="111"/>
      <c r="J50" s="283"/>
      <c r="K50" s="284" t="str">
        <f t="shared" si="19"/>
        <v>-</v>
      </c>
      <c r="L50" s="136"/>
      <c r="M50" s="136"/>
      <c r="N50" s="285" t="b">
        <f t="shared" si="11"/>
        <v>0</v>
      </c>
      <c r="O50" s="346" t="b">
        <f>AND($O$41,C50=$O$42,N50,COUNTIF($O$43:$O49,TRUE)=0)</f>
        <v>0</v>
      </c>
      <c r="P50" s="287">
        <f>IF($F50&lt;&gt;$P$41,0,COUNTIF($F$44:F50,$P$41))</f>
        <v>0</v>
      </c>
      <c r="Q50" s="287" t="b">
        <f t="shared" si="12"/>
        <v>0</v>
      </c>
      <c r="R50" s="287" t="b">
        <f t="shared" si="13"/>
        <v>0</v>
      </c>
      <c r="S50" s="288" t="b">
        <f t="shared" si="14"/>
        <v>1</v>
      </c>
      <c r="T50" s="187"/>
      <c r="U50" s="347">
        <f t="shared" si="15"/>
        <v>0</v>
      </c>
      <c r="V50" s="290">
        <f t="shared" si="16"/>
        <v>0</v>
      </c>
      <c r="W50" s="347">
        <f t="shared" si="17"/>
        <v>0</v>
      </c>
      <c r="X50" s="290">
        <f t="shared" si="17"/>
        <v>0</v>
      </c>
      <c r="Y50" s="290">
        <f t="shared" si="17"/>
        <v>0</v>
      </c>
      <c r="Z50" s="348">
        <f t="shared" si="17"/>
        <v>0</v>
      </c>
      <c r="AA50" s="349">
        <f t="shared" si="18"/>
        <v>0</v>
      </c>
    </row>
    <row r="51" spans="1:27" ht="15" customHeight="1">
      <c r="A51" s="343">
        <f t="shared" si="20"/>
        <v>8</v>
      </c>
      <c r="B51" s="280"/>
      <c r="C51" s="344"/>
      <c r="D51" s="710"/>
      <c r="E51" s="281"/>
      <c r="F51" s="344"/>
      <c r="G51" s="282"/>
      <c r="H51" s="345">
        <f>IFERROR(INDEX(【様式３】シフト表!$AK$7:$AK$106,MATCH($P51,【様式３】シフト表!$B$7:$B$106,0),1),0)</f>
        <v>0</v>
      </c>
      <c r="I51" s="111"/>
      <c r="J51" s="283"/>
      <c r="K51" s="284" t="str">
        <f t="shared" si="19"/>
        <v>-</v>
      </c>
      <c r="L51" s="136"/>
      <c r="M51" s="136"/>
      <c r="N51" s="285" t="b">
        <f t="shared" si="11"/>
        <v>0</v>
      </c>
      <c r="O51" s="346" t="b">
        <f>AND($O$41,C51=$O$42,N51,COUNTIF($O$43:$O50,TRUE)=0)</f>
        <v>0</v>
      </c>
      <c r="P51" s="287">
        <f>IF($F51&lt;&gt;$P$41,0,COUNTIF($F$44:F51,$P$41))</f>
        <v>0</v>
      </c>
      <c r="Q51" s="287" t="b">
        <f t="shared" si="12"/>
        <v>0</v>
      </c>
      <c r="R51" s="287" t="b">
        <f t="shared" si="13"/>
        <v>0</v>
      </c>
      <c r="S51" s="288" t="b">
        <f t="shared" si="14"/>
        <v>1</v>
      </c>
      <c r="T51" s="187"/>
      <c r="U51" s="347">
        <f t="shared" si="15"/>
        <v>0</v>
      </c>
      <c r="V51" s="290">
        <f t="shared" si="16"/>
        <v>0</v>
      </c>
      <c r="W51" s="347">
        <f t="shared" si="17"/>
        <v>0</v>
      </c>
      <c r="X51" s="290">
        <f t="shared" si="17"/>
        <v>0</v>
      </c>
      <c r="Y51" s="290">
        <f t="shared" si="17"/>
        <v>0</v>
      </c>
      <c r="Z51" s="348">
        <f t="shared" si="17"/>
        <v>0</v>
      </c>
      <c r="AA51" s="349">
        <f t="shared" si="18"/>
        <v>0</v>
      </c>
    </row>
    <row r="52" spans="1:27" ht="15" customHeight="1">
      <c r="A52" s="343">
        <f t="shared" si="20"/>
        <v>9</v>
      </c>
      <c r="B52" s="280"/>
      <c r="C52" s="344"/>
      <c r="D52" s="710"/>
      <c r="E52" s="281"/>
      <c r="F52" s="344"/>
      <c r="G52" s="282"/>
      <c r="H52" s="345">
        <f>IFERROR(INDEX(【様式３】シフト表!$AK$7:$AK$106,MATCH($P52,【様式３】シフト表!$B$7:$B$106,0),1),0)</f>
        <v>0</v>
      </c>
      <c r="I52" s="111"/>
      <c r="J52" s="283"/>
      <c r="K52" s="284" t="str">
        <f t="shared" si="19"/>
        <v>-</v>
      </c>
      <c r="L52" s="136"/>
      <c r="M52" s="136"/>
      <c r="N52" s="285" t="b">
        <f t="shared" si="11"/>
        <v>0</v>
      </c>
      <c r="O52" s="346" t="b">
        <f>AND($O$41,C52=$O$42,N52,COUNTIF($O$43:$O51,TRUE)=0)</f>
        <v>0</v>
      </c>
      <c r="P52" s="287">
        <f>IF($F52&lt;&gt;$P$41,0,COUNTIF($F$44:F52,$P$41))</f>
        <v>0</v>
      </c>
      <c r="Q52" s="287" t="b">
        <f t="shared" si="12"/>
        <v>0</v>
      </c>
      <c r="R52" s="287" t="b">
        <f t="shared" si="13"/>
        <v>0</v>
      </c>
      <c r="S52" s="288" t="b">
        <f t="shared" si="14"/>
        <v>1</v>
      </c>
      <c r="T52" s="187"/>
      <c r="U52" s="347">
        <f t="shared" si="15"/>
        <v>0</v>
      </c>
      <c r="V52" s="290">
        <f t="shared" si="16"/>
        <v>0</v>
      </c>
      <c r="W52" s="347">
        <f t="shared" si="17"/>
        <v>0</v>
      </c>
      <c r="X52" s="290">
        <f t="shared" si="17"/>
        <v>0</v>
      </c>
      <c r="Y52" s="290">
        <f t="shared" si="17"/>
        <v>0</v>
      </c>
      <c r="Z52" s="348">
        <f t="shared" si="17"/>
        <v>0</v>
      </c>
      <c r="AA52" s="349">
        <f t="shared" si="18"/>
        <v>0</v>
      </c>
    </row>
    <row r="53" spans="1:27" ht="15" customHeight="1">
      <c r="A53" s="343">
        <f t="shared" si="20"/>
        <v>10</v>
      </c>
      <c r="B53" s="280"/>
      <c r="C53" s="344"/>
      <c r="D53" s="710"/>
      <c r="E53" s="281"/>
      <c r="F53" s="344"/>
      <c r="G53" s="282"/>
      <c r="H53" s="345">
        <f>IFERROR(INDEX(【様式３】シフト表!$AK$7:$AK$106,MATCH($P53,【様式３】シフト表!$B$7:$B$106,0),1),0)</f>
        <v>0</v>
      </c>
      <c r="I53" s="111"/>
      <c r="J53" s="283"/>
      <c r="K53" s="284" t="str">
        <f t="shared" si="19"/>
        <v>-</v>
      </c>
      <c r="L53" s="136"/>
      <c r="M53" s="136"/>
      <c r="N53" s="285" t="b">
        <f t="shared" si="11"/>
        <v>0</v>
      </c>
      <c r="O53" s="346" t="b">
        <f>AND($O$41,C53=$O$42,N53,COUNTIF($O$43:$O52,TRUE)=0)</f>
        <v>0</v>
      </c>
      <c r="P53" s="287">
        <f>IF($F53&lt;&gt;$P$41,0,COUNTIF($F$44:F53,$P$41))</f>
        <v>0</v>
      </c>
      <c r="Q53" s="287" t="b">
        <f t="shared" si="12"/>
        <v>0</v>
      </c>
      <c r="R53" s="287" t="b">
        <f t="shared" si="13"/>
        <v>0</v>
      </c>
      <c r="S53" s="288" t="b">
        <f t="shared" si="14"/>
        <v>1</v>
      </c>
      <c r="T53" s="187"/>
      <c r="U53" s="347">
        <f t="shared" si="15"/>
        <v>0</v>
      </c>
      <c r="V53" s="290">
        <f t="shared" si="16"/>
        <v>0</v>
      </c>
      <c r="W53" s="347">
        <f t="shared" si="17"/>
        <v>0</v>
      </c>
      <c r="X53" s="290">
        <f t="shared" si="17"/>
        <v>0</v>
      </c>
      <c r="Y53" s="290">
        <f t="shared" si="17"/>
        <v>0</v>
      </c>
      <c r="Z53" s="348">
        <f t="shared" si="17"/>
        <v>0</v>
      </c>
      <c r="AA53" s="349">
        <f t="shared" si="18"/>
        <v>0</v>
      </c>
    </row>
    <row r="54" spans="1:27" ht="15" customHeight="1">
      <c r="A54" s="343">
        <f t="shared" si="20"/>
        <v>11</v>
      </c>
      <c r="B54" s="280"/>
      <c r="C54" s="344"/>
      <c r="D54" s="710"/>
      <c r="E54" s="281"/>
      <c r="F54" s="344"/>
      <c r="G54" s="282"/>
      <c r="H54" s="345">
        <f>IFERROR(INDEX(【様式３】シフト表!$AK$7:$AK$106,MATCH($P54,【様式３】シフト表!$B$7:$B$106,0),1),0)</f>
        <v>0</v>
      </c>
      <c r="I54" s="111"/>
      <c r="J54" s="283"/>
      <c r="K54" s="284" t="str">
        <f t="shared" si="19"/>
        <v>-</v>
      </c>
      <c r="L54" s="136"/>
      <c r="M54" s="136"/>
      <c r="N54" s="285" t="b">
        <f t="shared" si="11"/>
        <v>0</v>
      </c>
      <c r="O54" s="346" t="b">
        <f>AND($O$41,C54=$O$42,N54,COUNTIF($O$43:$O53,TRUE)=0)</f>
        <v>0</v>
      </c>
      <c r="P54" s="287">
        <f>IF($F54&lt;&gt;$P$41,0,COUNTIF($F$44:F54,$P$41))</f>
        <v>0</v>
      </c>
      <c r="Q54" s="287" t="b">
        <f t="shared" si="12"/>
        <v>0</v>
      </c>
      <c r="R54" s="287" t="b">
        <f t="shared" si="13"/>
        <v>0</v>
      </c>
      <c r="S54" s="288" t="b">
        <f t="shared" si="14"/>
        <v>1</v>
      </c>
      <c r="T54" s="187"/>
      <c r="U54" s="347">
        <f t="shared" si="15"/>
        <v>0</v>
      </c>
      <c r="V54" s="290">
        <f t="shared" si="16"/>
        <v>0</v>
      </c>
      <c r="W54" s="347">
        <f t="shared" si="17"/>
        <v>0</v>
      </c>
      <c r="X54" s="290">
        <f t="shared" si="17"/>
        <v>0</v>
      </c>
      <c r="Y54" s="290">
        <f t="shared" si="17"/>
        <v>0</v>
      </c>
      <c r="Z54" s="348">
        <f t="shared" si="17"/>
        <v>0</v>
      </c>
      <c r="AA54" s="349">
        <f t="shared" si="18"/>
        <v>0</v>
      </c>
    </row>
    <row r="55" spans="1:27" ht="15" customHeight="1">
      <c r="A55" s="343">
        <f t="shared" si="20"/>
        <v>12</v>
      </c>
      <c r="B55" s="280"/>
      <c r="C55" s="344"/>
      <c r="D55" s="710"/>
      <c r="E55" s="281"/>
      <c r="F55" s="344"/>
      <c r="G55" s="282"/>
      <c r="H55" s="345">
        <f>IFERROR(INDEX(【様式３】シフト表!$AK$7:$AK$106,MATCH($P55,【様式３】シフト表!$B$7:$B$106,0),1),0)</f>
        <v>0</v>
      </c>
      <c r="I55" s="111"/>
      <c r="J55" s="283"/>
      <c r="K55" s="284" t="str">
        <f t="shared" si="19"/>
        <v>-</v>
      </c>
      <c r="L55" s="136"/>
      <c r="M55" s="136"/>
      <c r="N55" s="285" t="b">
        <f t="shared" si="11"/>
        <v>0</v>
      </c>
      <c r="O55" s="346" t="b">
        <f>AND($O$41,C55=$O$42,N55,COUNTIF($O$43:$O54,TRUE)=0)</f>
        <v>0</v>
      </c>
      <c r="P55" s="287">
        <f>IF($F55&lt;&gt;$P$41,0,COUNTIF($F$44:F55,$P$41))</f>
        <v>0</v>
      </c>
      <c r="Q55" s="287" t="b">
        <f t="shared" si="12"/>
        <v>0</v>
      </c>
      <c r="R55" s="287" t="b">
        <f t="shared" si="13"/>
        <v>0</v>
      </c>
      <c r="S55" s="288" t="b">
        <f t="shared" si="14"/>
        <v>1</v>
      </c>
      <c r="T55" s="187"/>
      <c r="U55" s="347">
        <f t="shared" si="15"/>
        <v>0</v>
      </c>
      <c r="V55" s="290">
        <f t="shared" si="16"/>
        <v>0</v>
      </c>
      <c r="W55" s="347">
        <f t="shared" si="17"/>
        <v>0</v>
      </c>
      <c r="X55" s="290">
        <f t="shared" si="17"/>
        <v>0</v>
      </c>
      <c r="Y55" s="290">
        <f t="shared" si="17"/>
        <v>0</v>
      </c>
      <c r="Z55" s="348">
        <f t="shared" si="17"/>
        <v>0</v>
      </c>
      <c r="AA55" s="349">
        <f t="shared" si="18"/>
        <v>0</v>
      </c>
    </row>
    <row r="56" spans="1:27" ht="15" customHeight="1">
      <c r="A56" s="343">
        <f t="shared" si="20"/>
        <v>13</v>
      </c>
      <c r="B56" s="280"/>
      <c r="C56" s="344"/>
      <c r="D56" s="710"/>
      <c r="E56" s="281"/>
      <c r="F56" s="344"/>
      <c r="G56" s="282"/>
      <c r="H56" s="345">
        <f>IFERROR(INDEX(【様式３】シフト表!$AK$7:$AK$106,MATCH($P56,【様式３】シフト表!$B$7:$B$106,0),1),0)</f>
        <v>0</v>
      </c>
      <c r="I56" s="111"/>
      <c r="J56" s="283"/>
      <c r="K56" s="284" t="str">
        <f t="shared" si="19"/>
        <v>-</v>
      </c>
      <c r="L56" s="136"/>
      <c r="M56" s="136"/>
      <c r="N56" s="285" t="b">
        <f t="shared" si="11"/>
        <v>0</v>
      </c>
      <c r="O56" s="346" t="b">
        <f>AND($O$41,C56=$O$42,N56,COUNTIF($O$43:$O55,TRUE)=0)</f>
        <v>0</v>
      </c>
      <c r="P56" s="287">
        <f>IF($F56&lt;&gt;$P$41,0,COUNTIF($F$44:F56,$P$41))</f>
        <v>0</v>
      </c>
      <c r="Q56" s="287" t="b">
        <f t="shared" si="12"/>
        <v>0</v>
      </c>
      <c r="R56" s="287" t="b">
        <f t="shared" si="13"/>
        <v>0</v>
      </c>
      <c r="S56" s="288" t="b">
        <f t="shared" si="14"/>
        <v>1</v>
      </c>
      <c r="T56" s="187"/>
      <c r="U56" s="347">
        <f t="shared" si="15"/>
        <v>0</v>
      </c>
      <c r="V56" s="290">
        <f t="shared" si="16"/>
        <v>0</v>
      </c>
      <c r="W56" s="347">
        <f t="shared" si="17"/>
        <v>0</v>
      </c>
      <c r="X56" s="290">
        <f t="shared" si="17"/>
        <v>0</v>
      </c>
      <c r="Y56" s="290">
        <f t="shared" si="17"/>
        <v>0</v>
      </c>
      <c r="Z56" s="348">
        <f t="shared" si="17"/>
        <v>0</v>
      </c>
      <c r="AA56" s="349">
        <f t="shared" si="18"/>
        <v>0</v>
      </c>
    </row>
    <row r="57" spans="1:27" ht="15" customHeight="1">
      <c r="A57" s="343">
        <f t="shared" si="20"/>
        <v>14</v>
      </c>
      <c r="B57" s="280"/>
      <c r="C57" s="344"/>
      <c r="D57" s="710"/>
      <c r="E57" s="281"/>
      <c r="F57" s="344"/>
      <c r="G57" s="282"/>
      <c r="H57" s="345">
        <f>IFERROR(INDEX(【様式３】シフト表!$AK$7:$AK$106,MATCH($P57,【様式３】シフト表!$B$7:$B$106,0),1),0)</f>
        <v>0</v>
      </c>
      <c r="I57" s="111"/>
      <c r="J57" s="283"/>
      <c r="K57" s="284" t="str">
        <f t="shared" si="19"/>
        <v>-</v>
      </c>
      <c r="L57" s="136"/>
      <c r="M57" s="136"/>
      <c r="N57" s="285" t="b">
        <f t="shared" si="11"/>
        <v>0</v>
      </c>
      <c r="O57" s="346" t="b">
        <f>AND($O$41,C57=$O$42,N57,COUNTIF($O$43:$O56,TRUE)=0)</f>
        <v>0</v>
      </c>
      <c r="P57" s="287">
        <f>IF($F57&lt;&gt;$P$41,0,COUNTIF($F$44:F57,$P$41))</f>
        <v>0</v>
      </c>
      <c r="Q57" s="287" t="b">
        <f t="shared" si="12"/>
        <v>0</v>
      </c>
      <c r="R57" s="287" t="b">
        <f t="shared" si="13"/>
        <v>0</v>
      </c>
      <c r="S57" s="288" t="b">
        <f t="shared" si="14"/>
        <v>1</v>
      </c>
      <c r="T57" s="187"/>
      <c r="U57" s="347">
        <f t="shared" si="15"/>
        <v>0</v>
      </c>
      <c r="V57" s="290">
        <f t="shared" si="16"/>
        <v>0</v>
      </c>
      <c r="W57" s="347">
        <f t="shared" si="17"/>
        <v>0</v>
      </c>
      <c r="X57" s="290">
        <f t="shared" si="17"/>
        <v>0</v>
      </c>
      <c r="Y57" s="290">
        <f t="shared" si="17"/>
        <v>0</v>
      </c>
      <c r="Z57" s="348">
        <f t="shared" si="17"/>
        <v>0</v>
      </c>
      <c r="AA57" s="349">
        <f t="shared" si="18"/>
        <v>0</v>
      </c>
    </row>
    <row r="58" spans="1:27" ht="15" customHeight="1">
      <c r="A58" s="343">
        <f t="shared" si="20"/>
        <v>15</v>
      </c>
      <c r="B58" s="280"/>
      <c r="C58" s="344"/>
      <c r="D58" s="710"/>
      <c r="E58" s="281"/>
      <c r="F58" s="344"/>
      <c r="G58" s="282"/>
      <c r="H58" s="345">
        <f>IFERROR(INDEX(【様式３】シフト表!$AK$7:$AK$106,MATCH($P58,【様式３】シフト表!$B$7:$B$106,0),1),0)</f>
        <v>0</v>
      </c>
      <c r="I58" s="111"/>
      <c r="J58" s="283"/>
      <c r="K58" s="284" t="str">
        <f t="shared" si="19"/>
        <v>-</v>
      </c>
      <c r="L58" s="136"/>
      <c r="M58" s="136"/>
      <c r="N58" s="285" t="b">
        <f t="shared" si="11"/>
        <v>0</v>
      </c>
      <c r="O58" s="346" t="b">
        <f>AND($O$41,C58=$O$42,N58,COUNTIF($O$43:$O57,TRUE)=0)</f>
        <v>0</v>
      </c>
      <c r="P58" s="287">
        <f>IF($F58&lt;&gt;$P$41,0,COUNTIF($F$44:F58,$P$41))</f>
        <v>0</v>
      </c>
      <c r="Q58" s="287" t="b">
        <f t="shared" si="12"/>
        <v>0</v>
      </c>
      <c r="R58" s="287" t="b">
        <f t="shared" si="13"/>
        <v>0</v>
      </c>
      <c r="S58" s="288" t="b">
        <f t="shared" si="14"/>
        <v>1</v>
      </c>
      <c r="T58" s="187"/>
      <c r="U58" s="347">
        <f t="shared" si="15"/>
        <v>0</v>
      </c>
      <c r="V58" s="290">
        <f t="shared" si="16"/>
        <v>0</v>
      </c>
      <c r="W58" s="347">
        <f t="shared" si="17"/>
        <v>0</v>
      </c>
      <c r="X58" s="290">
        <f t="shared" si="17"/>
        <v>0</v>
      </c>
      <c r="Y58" s="290">
        <f t="shared" si="17"/>
        <v>0</v>
      </c>
      <c r="Z58" s="348">
        <f t="shared" si="17"/>
        <v>0</v>
      </c>
      <c r="AA58" s="349">
        <f t="shared" si="18"/>
        <v>0</v>
      </c>
    </row>
    <row r="59" spans="1:27" ht="15" customHeight="1">
      <c r="A59" s="343">
        <f t="shared" si="20"/>
        <v>16</v>
      </c>
      <c r="B59" s="280"/>
      <c r="C59" s="344"/>
      <c r="D59" s="710"/>
      <c r="E59" s="281"/>
      <c r="F59" s="344"/>
      <c r="G59" s="282"/>
      <c r="H59" s="345">
        <f>IFERROR(INDEX(【様式３】シフト表!$AK$7:$AK$106,MATCH($P59,【様式３】シフト表!$B$7:$B$106,0),1),0)</f>
        <v>0</v>
      </c>
      <c r="I59" s="111"/>
      <c r="J59" s="283"/>
      <c r="K59" s="284" t="str">
        <f t="shared" si="19"/>
        <v>-</v>
      </c>
      <c r="L59" s="136"/>
      <c r="M59" s="136"/>
      <c r="N59" s="285" t="b">
        <f t="shared" si="11"/>
        <v>0</v>
      </c>
      <c r="O59" s="346" t="b">
        <f>AND($O$41,C59=$O$42,N59,COUNTIF($O$43:$O58,TRUE)=0)</f>
        <v>0</v>
      </c>
      <c r="P59" s="287">
        <f>IF($F59&lt;&gt;$P$41,0,COUNTIF($F$44:F59,$P$41))</f>
        <v>0</v>
      </c>
      <c r="Q59" s="287" t="b">
        <f t="shared" si="12"/>
        <v>0</v>
      </c>
      <c r="R59" s="287" t="b">
        <f t="shared" si="13"/>
        <v>0</v>
      </c>
      <c r="S59" s="288" t="b">
        <f t="shared" si="14"/>
        <v>1</v>
      </c>
      <c r="T59" s="187"/>
      <c r="U59" s="347">
        <f t="shared" si="15"/>
        <v>0</v>
      </c>
      <c r="V59" s="290">
        <f t="shared" si="16"/>
        <v>0</v>
      </c>
      <c r="W59" s="347">
        <f t="shared" si="17"/>
        <v>0</v>
      </c>
      <c r="X59" s="290">
        <f t="shared" si="17"/>
        <v>0</v>
      </c>
      <c r="Y59" s="290">
        <f t="shared" si="17"/>
        <v>0</v>
      </c>
      <c r="Z59" s="348">
        <f t="shared" si="17"/>
        <v>0</v>
      </c>
      <c r="AA59" s="349">
        <f t="shared" si="18"/>
        <v>0</v>
      </c>
    </row>
    <row r="60" spans="1:27" ht="15" customHeight="1">
      <c r="A60" s="343">
        <f t="shared" si="20"/>
        <v>17</v>
      </c>
      <c r="B60" s="280"/>
      <c r="C60" s="344"/>
      <c r="D60" s="710"/>
      <c r="E60" s="281"/>
      <c r="F60" s="344"/>
      <c r="G60" s="282"/>
      <c r="H60" s="345">
        <f>IFERROR(INDEX(【様式３】シフト表!$AK$7:$AK$106,MATCH($P60,【様式３】シフト表!$B$7:$B$106,0),1),0)</f>
        <v>0</v>
      </c>
      <c r="I60" s="111"/>
      <c r="J60" s="283"/>
      <c r="K60" s="284" t="str">
        <f t="shared" si="19"/>
        <v>-</v>
      </c>
      <c r="L60" s="136"/>
      <c r="M60" s="136"/>
      <c r="N60" s="285" t="b">
        <f t="shared" si="11"/>
        <v>0</v>
      </c>
      <c r="O60" s="346" t="b">
        <f>AND($O$41,C60=$O$42,N60,COUNTIF($O$43:$O59,TRUE)=0)</f>
        <v>0</v>
      </c>
      <c r="P60" s="287">
        <f>IF($F60&lt;&gt;$P$41,0,COUNTIF($F$44:F60,$P$41))</f>
        <v>0</v>
      </c>
      <c r="Q60" s="287" t="b">
        <f t="shared" si="12"/>
        <v>0</v>
      </c>
      <c r="R60" s="287" t="b">
        <f t="shared" si="13"/>
        <v>0</v>
      </c>
      <c r="S60" s="288" t="b">
        <f t="shared" si="14"/>
        <v>1</v>
      </c>
      <c r="T60" s="187"/>
      <c r="U60" s="347">
        <f t="shared" si="15"/>
        <v>0</v>
      </c>
      <c r="V60" s="290">
        <f t="shared" si="16"/>
        <v>0</v>
      </c>
      <c r="W60" s="347">
        <f t="shared" si="17"/>
        <v>0</v>
      </c>
      <c r="X60" s="290">
        <f t="shared" si="17"/>
        <v>0</v>
      </c>
      <c r="Y60" s="290">
        <f t="shared" si="17"/>
        <v>0</v>
      </c>
      <c r="Z60" s="348">
        <f t="shared" si="17"/>
        <v>0</v>
      </c>
      <c r="AA60" s="349">
        <f t="shared" si="18"/>
        <v>0</v>
      </c>
    </row>
    <row r="61" spans="1:27" ht="15" customHeight="1">
      <c r="A61" s="343">
        <f t="shared" si="20"/>
        <v>18</v>
      </c>
      <c r="B61" s="280"/>
      <c r="C61" s="344"/>
      <c r="D61" s="710"/>
      <c r="E61" s="281"/>
      <c r="F61" s="344"/>
      <c r="G61" s="282"/>
      <c r="H61" s="345">
        <f>IFERROR(INDEX(【様式３】シフト表!$AK$7:$AK$106,MATCH($P61,【様式３】シフト表!$B$7:$B$106,0),1),0)</f>
        <v>0</v>
      </c>
      <c r="I61" s="111"/>
      <c r="J61" s="283"/>
      <c r="K61" s="284" t="str">
        <f t="shared" si="19"/>
        <v>-</v>
      </c>
      <c r="L61" s="136"/>
      <c r="M61" s="136"/>
      <c r="N61" s="285" t="b">
        <f t="shared" si="11"/>
        <v>0</v>
      </c>
      <c r="O61" s="346" t="b">
        <f>AND($O$41,C61=$O$42,N61,COUNTIF($O$43:$O60,TRUE)=0)</f>
        <v>0</v>
      </c>
      <c r="P61" s="287">
        <f>IF($F61&lt;&gt;$P$41,0,COUNTIF($F$44:F61,$P$41))</f>
        <v>0</v>
      </c>
      <c r="Q61" s="287" t="b">
        <f t="shared" si="12"/>
        <v>0</v>
      </c>
      <c r="R61" s="287" t="b">
        <f t="shared" si="13"/>
        <v>0</v>
      </c>
      <c r="S61" s="288" t="b">
        <f t="shared" si="14"/>
        <v>1</v>
      </c>
      <c r="T61" s="187"/>
      <c r="U61" s="347">
        <f t="shared" si="15"/>
        <v>0</v>
      </c>
      <c r="V61" s="290">
        <f t="shared" si="16"/>
        <v>0</v>
      </c>
      <c r="W61" s="347">
        <f t="shared" si="17"/>
        <v>0</v>
      </c>
      <c r="X61" s="290">
        <f t="shared" si="17"/>
        <v>0</v>
      </c>
      <c r="Y61" s="290">
        <f t="shared" si="17"/>
        <v>0</v>
      </c>
      <c r="Z61" s="348">
        <f t="shared" si="17"/>
        <v>0</v>
      </c>
      <c r="AA61" s="349">
        <f t="shared" si="18"/>
        <v>0</v>
      </c>
    </row>
    <row r="62" spans="1:27" ht="15" customHeight="1">
      <c r="A62" s="343">
        <f t="shared" si="20"/>
        <v>19</v>
      </c>
      <c r="B62" s="280"/>
      <c r="C62" s="344"/>
      <c r="D62" s="710"/>
      <c r="E62" s="281"/>
      <c r="F62" s="344"/>
      <c r="G62" s="282"/>
      <c r="H62" s="345">
        <f>IFERROR(INDEX(【様式３】シフト表!$AK$7:$AK$106,MATCH($P62,【様式３】シフト表!$B$7:$B$106,0),1),0)</f>
        <v>0</v>
      </c>
      <c r="I62" s="111"/>
      <c r="J62" s="283"/>
      <c r="K62" s="284" t="str">
        <f t="shared" si="19"/>
        <v>-</v>
      </c>
      <c r="L62" s="136"/>
      <c r="M62" s="136"/>
      <c r="N62" s="285" t="b">
        <f t="shared" si="11"/>
        <v>0</v>
      </c>
      <c r="O62" s="346" t="b">
        <f>AND($O$41,C62=$O$42,N62,COUNTIF($O$43:$O61,TRUE)=0)</f>
        <v>0</v>
      </c>
      <c r="P62" s="287">
        <f>IF($F62&lt;&gt;$P$41,0,COUNTIF($F$44:F62,$P$41))</f>
        <v>0</v>
      </c>
      <c r="Q62" s="287" t="b">
        <f t="shared" si="12"/>
        <v>0</v>
      </c>
      <c r="R62" s="287" t="b">
        <f t="shared" si="13"/>
        <v>0</v>
      </c>
      <c r="S62" s="288" t="b">
        <f t="shared" si="14"/>
        <v>1</v>
      </c>
      <c r="T62" s="187"/>
      <c r="U62" s="347">
        <f t="shared" si="15"/>
        <v>0</v>
      </c>
      <c r="V62" s="290">
        <f t="shared" si="16"/>
        <v>0</v>
      </c>
      <c r="W62" s="347">
        <f t="shared" si="17"/>
        <v>0</v>
      </c>
      <c r="X62" s="290">
        <f t="shared" si="17"/>
        <v>0</v>
      </c>
      <c r="Y62" s="290">
        <f t="shared" si="17"/>
        <v>0</v>
      </c>
      <c r="Z62" s="348">
        <f t="shared" si="17"/>
        <v>0</v>
      </c>
      <c r="AA62" s="349">
        <f t="shared" si="18"/>
        <v>0</v>
      </c>
    </row>
    <row r="63" spans="1:27" ht="15" customHeight="1">
      <c r="A63" s="343">
        <f t="shared" si="20"/>
        <v>20</v>
      </c>
      <c r="B63" s="280"/>
      <c r="C63" s="344"/>
      <c r="D63" s="710"/>
      <c r="E63" s="281"/>
      <c r="F63" s="344"/>
      <c r="G63" s="282"/>
      <c r="H63" s="345">
        <f>IFERROR(INDEX(【様式３】シフト表!$AK$7:$AK$106,MATCH($P63,【様式３】シフト表!$B$7:$B$106,0),1),0)</f>
        <v>0</v>
      </c>
      <c r="I63" s="111"/>
      <c r="J63" s="283"/>
      <c r="K63" s="284" t="str">
        <f t="shared" si="19"/>
        <v>-</v>
      </c>
      <c r="L63" s="136"/>
      <c r="M63" s="136"/>
      <c r="N63" s="285" t="b">
        <f t="shared" si="11"/>
        <v>0</v>
      </c>
      <c r="O63" s="346" t="b">
        <f>AND($O$41,C63=$O$42,N63,COUNTIF($O$43:$O62,TRUE)=0)</f>
        <v>0</v>
      </c>
      <c r="P63" s="287">
        <f>IF($F63&lt;&gt;$P$41,0,COUNTIF($F$44:F63,$P$41))</f>
        <v>0</v>
      </c>
      <c r="Q63" s="287" t="b">
        <f t="shared" si="12"/>
        <v>0</v>
      </c>
      <c r="R63" s="287" t="b">
        <f t="shared" si="13"/>
        <v>0</v>
      </c>
      <c r="S63" s="288" t="b">
        <f t="shared" si="14"/>
        <v>1</v>
      </c>
      <c r="T63" s="187"/>
      <c r="U63" s="347">
        <f t="shared" si="15"/>
        <v>0</v>
      </c>
      <c r="V63" s="290">
        <f t="shared" si="16"/>
        <v>0</v>
      </c>
      <c r="W63" s="347">
        <f t="shared" si="17"/>
        <v>0</v>
      </c>
      <c r="X63" s="290">
        <f t="shared" si="17"/>
        <v>0</v>
      </c>
      <c r="Y63" s="290">
        <f t="shared" si="17"/>
        <v>0</v>
      </c>
      <c r="Z63" s="348">
        <f t="shared" si="17"/>
        <v>0</v>
      </c>
      <c r="AA63" s="349">
        <f t="shared" si="18"/>
        <v>0</v>
      </c>
    </row>
    <row r="64" spans="1:27" ht="15" customHeight="1">
      <c r="A64" s="343">
        <f t="shared" si="20"/>
        <v>21</v>
      </c>
      <c r="B64" s="280"/>
      <c r="C64" s="344"/>
      <c r="D64" s="710"/>
      <c r="E64" s="281"/>
      <c r="F64" s="344"/>
      <c r="G64" s="282"/>
      <c r="H64" s="345">
        <f>IFERROR(INDEX(【様式３】シフト表!$AK$7:$AK$106,MATCH($P64,【様式３】シフト表!$B$7:$B$106,0),1),0)</f>
        <v>0</v>
      </c>
      <c r="I64" s="111"/>
      <c r="J64" s="283"/>
      <c r="K64" s="284" t="str">
        <f t="shared" si="19"/>
        <v>-</v>
      </c>
      <c r="L64" s="136"/>
      <c r="M64" s="136"/>
      <c r="N64" s="285" t="b">
        <f t="shared" si="11"/>
        <v>0</v>
      </c>
      <c r="O64" s="346" t="b">
        <f>AND($O$41,C64=$O$42,N64,COUNTIF($O$43:$O63,TRUE)=0)</f>
        <v>0</v>
      </c>
      <c r="P64" s="287">
        <f>IF($F64&lt;&gt;$P$41,0,COUNTIF($F$44:F64,$P$41))</f>
        <v>0</v>
      </c>
      <c r="Q64" s="287" t="b">
        <f t="shared" si="12"/>
        <v>0</v>
      </c>
      <c r="R64" s="287" t="b">
        <f t="shared" si="13"/>
        <v>0</v>
      </c>
      <c r="S64" s="288" t="b">
        <f t="shared" si="14"/>
        <v>1</v>
      </c>
      <c r="T64" s="187"/>
      <c r="U64" s="347">
        <f t="shared" si="15"/>
        <v>0</v>
      </c>
      <c r="V64" s="290">
        <f t="shared" si="16"/>
        <v>0</v>
      </c>
      <c r="W64" s="347">
        <f t="shared" ref="W64:Z83" si="21">IF(AND($F64=W$40,$G64=W$41),$K64,0)</f>
        <v>0</v>
      </c>
      <c r="X64" s="290">
        <f t="shared" si="21"/>
        <v>0</v>
      </c>
      <c r="Y64" s="290">
        <f t="shared" si="21"/>
        <v>0</v>
      </c>
      <c r="Z64" s="348">
        <f t="shared" si="21"/>
        <v>0</v>
      </c>
      <c r="AA64" s="349">
        <f t="shared" si="18"/>
        <v>0</v>
      </c>
    </row>
    <row r="65" spans="1:27" ht="15" customHeight="1">
      <c r="A65" s="343">
        <f t="shared" si="20"/>
        <v>22</v>
      </c>
      <c r="B65" s="280"/>
      <c r="C65" s="344"/>
      <c r="D65" s="710"/>
      <c r="E65" s="281"/>
      <c r="F65" s="344"/>
      <c r="G65" s="282"/>
      <c r="H65" s="345">
        <f>IFERROR(INDEX(【様式３】シフト表!$AK$7:$AK$106,MATCH($P65,【様式３】シフト表!$B$7:$B$106,0),1),0)</f>
        <v>0</v>
      </c>
      <c r="I65" s="111"/>
      <c r="J65" s="283"/>
      <c r="K65" s="284" t="str">
        <f t="shared" si="19"/>
        <v>-</v>
      </c>
      <c r="L65" s="136"/>
      <c r="M65" s="136"/>
      <c r="N65" s="285" t="b">
        <f t="shared" si="11"/>
        <v>0</v>
      </c>
      <c r="O65" s="346" t="b">
        <f>AND($O$41,C65=$O$42,N65,COUNTIF($O$43:$O64,TRUE)=0)</f>
        <v>0</v>
      </c>
      <c r="P65" s="287">
        <f>IF($F65&lt;&gt;$P$41,0,COUNTIF($F$44:F65,$P$41))</f>
        <v>0</v>
      </c>
      <c r="Q65" s="287" t="b">
        <f t="shared" si="12"/>
        <v>0</v>
      </c>
      <c r="R65" s="287" t="b">
        <f t="shared" si="13"/>
        <v>0</v>
      </c>
      <c r="S65" s="288" t="b">
        <f t="shared" si="14"/>
        <v>1</v>
      </c>
      <c r="T65" s="187"/>
      <c r="U65" s="347">
        <f t="shared" si="15"/>
        <v>0</v>
      </c>
      <c r="V65" s="290">
        <f t="shared" si="16"/>
        <v>0</v>
      </c>
      <c r="W65" s="347">
        <f t="shared" si="21"/>
        <v>0</v>
      </c>
      <c r="X65" s="290">
        <f t="shared" si="21"/>
        <v>0</v>
      </c>
      <c r="Y65" s="290">
        <f t="shared" si="21"/>
        <v>0</v>
      </c>
      <c r="Z65" s="348">
        <f t="shared" si="21"/>
        <v>0</v>
      </c>
      <c r="AA65" s="349">
        <f t="shared" si="18"/>
        <v>0</v>
      </c>
    </row>
    <row r="66" spans="1:27" ht="15" customHeight="1">
      <c r="A66" s="343">
        <f t="shared" si="20"/>
        <v>23</v>
      </c>
      <c r="B66" s="280"/>
      <c r="C66" s="344"/>
      <c r="D66" s="710"/>
      <c r="E66" s="281"/>
      <c r="F66" s="344"/>
      <c r="G66" s="282"/>
      <c r="H66" s="345">
        <f>IFERROR(INDEX(【様式３】シフト表!$AK$7:$AK$106,MATCH($P66,【様式３】シフト表!$B$7:$B$106,0),1),0)</f>
        <v>0</v>
      </c>
      <c r="I66" s="111"/>
      <c r="J66" s="283"/>
      <c r="K66" s="284" t="str">
        <f t="shared" si="19"/>
        <v>-</v>
      </c>
      <c r="L66" s="136"/>
      <c r="M66" s="136"/>
      <c r="N66" s="285" t="b">
        <f t="shared" si="11"/>
        <v>0</v>
      </c>
      <c r="O66" s="346" t="b">
        <f>AND($O$41,C66=$O$42,N66,COUNTIF($O$43:$O65,TRUE)=0)</f>
        <v>0</v>
      </c>
      <c r="P66" s="287">
        <f>IF($F66&lt;&gt;$P$41,0,COUNTIF($F$44:F66,$P$41))</f>
        <v>0</v>
      </c>
      <c r="Q66" s="287" t="b">
        <f t="shared" si="12"/>
        <v>0</v>
      </c>
      <c r="R66" s="287" t="b">
        <f t="shared" si="13"/>
        <v>0</v>
      </c>
      <c r="S66" s="288" t="b">
        <f t="shared" si="14"/>
        <v>1</v>
      </c>
      <c r="T66" s="187"/>
      <c r="U66" s="347">
        <f t="shared" si="15"/>
        <v>0</v>
      </c>
      <c r="V66" s="290">
        <f t="shared" si="16"/>
        <v>0</v>
      </c>
      <c r="W66" s="347">
        <f t="shared" si="21"/>
        <v>0</v>
      </c>
      <c r="X66" s="290">
        <f t="shared" si="21"/>
        <v>0</v>
      </c>
      <c r="Y66" s="290">
        <f t="shared" si="21"/>
        <v>0</v>
      </c>
      <c r="Z66" s="348">
        <f t="shared" si="21"/>
        <v>0</v>
      </c>
      <c r="AA66" s="349">
        <f t="shared" si="18"/>
        <v>0</v>
      </c>
    </row>
    <row r="67" spans="1:27" ht="15" customHeight="1">
      <c r="A67" s="343">
        <f t="shared" si="20"/>
        <v>24</v>
      </c>
      <c r="B67" s="280"/>
      <c r="C67" s="344"/>
      <c r="D67" s="710"/>
      <c r="E67" s="281"/>
      <c r="F67" s="344"/>
      <c r="G67" s="282"/>
      <c r="H67" s="345">
        <f>IFERROR(INDEX(【様式３】シフト表!$AK$7:$AK$106,MATCH($P67,【様式３】シフト表!$B$7:$B$106,0),1),0)</f>
        <v>0</v>
      </c>
      <c r="I67" s="111"/>
      <c r="J67" s="283"/>
      <c r="K67" s="284" t="str">
        <f t="shared" si="19"/>
        <v>-</v>
      </c>
      <c r="L67" s="136"/>
      <c r="M67" s="136"/>
      <c r="N67" s="285" t="b">
        <f t="shared" si="11"/>
        <v>0</v>
      </c>
      <c r="O67" s="346" t="b">
        <f>AND($O$41,C67=$O$42,N67,COUNTIF($O$43:$O66,TRUE)=0)</f>
        <v>0</v>
      </c>
      <c r="P67" s="287">
        <f>IF($F67&lt;&gt;$P$41,0,COUNTIF($F$44:F67,$P$41))</f>
        <v>0</v>
      </c>
      <c r="Q67" s="287" t="b">
        <f t="shared" si="12"/>
        <v>0</v>
      </c>
      <c r="R67" s="287" t="b">
        <f t="shared" si="13"/>
        <v>0</v>
      </c>
      <c r="S67" s="288" t="b">
        <f t="shared" si="14"/>
        <v>1</v>
      </c>
      <c r="T67" s="187"/>
      <c r="U67" s="347">
        <f t="shared" si="15"/>
        <v>0</v>
      </c>
      <c r="V67" s="290">
        <f t="shared" si="16"/>
        <v>0</v>
      </c>
      <c r="W67" s="347">
        <f t="shared" si="21"/>
        <v>0</v>
      </c>
      <c r="X67" s="290">
        <f t="shared" si="21"/>
        <v>0</v>
      </c>
      <c r="Y67" s="290">
        <f t="shared" si="21"/>
        <v>0</v>
      </c>
      <c r="Z67" s="348">
        <f t="shared" si="21"/>
        <v>0</v>
      </c>
      <c r="AA67" s="349">
        <f t="shared" si="18"/>
        <v>0</v>
      </c>
    </row>
    <row r="68" spans="1:27" ht="15" customHeight="1">
      <c r="A68" s="343">
        <f t="shared" si="20"/>
        <v>25</v>
      </c>
      <c r="B68" s="280"/>
      <c r="C68" s="344"/>
      <c r="D68" s="710"/>
      <c r="E68" s="281"/>
      <c r="F68" s="344"/>
      <c r="G68" s="282"/>
      <c r="H68" s="345">
        <f>IFERROR(INDEX(【様式３】シフト表!$AK$7:$AK$106,MATCH($P68,【様式３】シフト表!$B$7:$B$106,0),1),0)</f>
        <v>0</v>
      </c>
      <c r="I68" s="111"/>
      <c r="J68" s="283"/>
      <c r="K68" s="284" t="str">
        <f t="shared" si="19"/>
        <v>-</v>
      </c>
      <c r="L68" s="136"/>
      <c r="M68" s="136"/>
      <c r="N68" s="285" t="b">
        <f t="shared" si="11"/>
        <v>0</v>
      </c>
      <c r="O68" s="346" t="b">
        <f>AND($O$41,C68=$O$42,N68,COUNTIF($O$43:$O67,TRUE)=0)</f>
        <v>0</v>
      </c>
      <c r="P68" s="287">
        <f>IF($F68&lt;&gt;$P$41,0,COUNTIF($F$44:F68,$P$41))</f>
        <v>0</v>
      </c>
      <c r="Q68" s="287" t="b">
        <f t="shared" si="12"/>
        <v>0</v>
      </c>
      <c r="R68" s="287" t="b">
        <f t="shared" si="13"/>
        <v>0</v>
      </c>
      <c r="S68" s="288" t="b">
        <f t="shared" si="14"/>
        <v>1</v>
      </c>
      <c r="T68" s="187"/>
      <c r="U68" s="347">
        <f t="shared" si="15"/>
        <v>0</v>
      </c>
      <c r="V68" s="290">
        <f t="shared" si="16"/>
        <v>0</v>
      </c>
      <c r="W68" s="347">
        <f t="shared" si="21"/>
        <v>0</v>
      </c>
      <c r="X68" s="290">
        <f t="shared" si="21"/>
        <v>0</v>
      </c>
      <c r="Y68" s="290">
        <f t="shared" si="21"/>
        <v>0</v>
      </c>
      <c r="Z68" s="348">
        <f t="shared" si="21"/>
        <v>0</v>
      </c>
      <c r="AA68" s="349">
        <f t="shared" si="18"/>
        <v>0</v>
      </c>
    </row>
    <row r="69" spans="1:27" ht="15" customHeight="1">
      <c r="A69" s="343">
        <f t="shared" si="20"/>
        <v>26</v>
      </c>
      <c r="B69" s="280"/>
      <c r="C69" s="344"/>
      <c r="D69" s="710"/>
      <c r="E69" s="281"/>
      <c r="F69" s="344"/>
      <c r="G69" s="282"/>
      <c r="H69" s="345">
        <f>IFERROR(INDEX(【様式３】シフト表!$AK$7:$AK$106,MATCH($P69,【様式３】シフト表!$B$7:$B$106,0),1),0)</f>
        <v>0</v>
      </c>
      <c r="I69" s="111"/>
      <c r="J69" s="283"/>
      <c r="K69" s="284" t="str">
        <f t="shared" si="19"/>
        <v>-</v>
      </c>
      <c r="L69" s="136"/>
      <c r="M69" s="136"/>
      <c r="N69" s="285" t="b">
        <f t="shared" si="11"/>
        <v>0</v>
      </c>
      <c r="O69" s="346" t="b">
        <f>AND($O$41,C69=$O$42,N69,COUNTIF($O$43:$O68,TRUE)=0)</f>
        <v>0</v>
      </c>
      <c r="P69" s="287">
        <f>IF($F69&lt;&gt;$P$41,0,COUNTIF($F$44:F69,$P$41))</f>
        <v>0</v>
      </c>
      <c r="Q69" s="287" t="b">
        <f t="shared" si="12"/>
        <v>0</v>
      </c>
      <c r="R69" s="287" t="b">
        <f t="shared" si="13"/>
        <v>0</v>
      </c>
      <c r="S69" s="288" t="b">
        <f t="shared" si="14"/>
        <v>1</v>
      </c>
      <c r="T69" s="187"/>
      <c r="U69" s="347">
        <f t="shared" si="15"/>
        <v>0</v>
      </c>
      <c r="V69" s="290">
        <f t="shared" si="16"/>
        <v>0</v>
      </c>
      <c r="W69" s="347">
        <f t="shared" si="21"/>
        <v>0</v>
      </c>
      <c r="X69" s="290">
        <f t="shared" si="21"/>
        <v>0</v>
      </c>
      <c r="Y69" s="290">
        <f t="shared" si="21"/>
        <v>0</v>
      </c>
      <c r="Z69" s="348">
        <f t="shared" si="21"/>
        <v>0</v>
      </c>
      <c r="AA69" s="349">
        <f t="shared" si="18"/>
        <v>0</v>
      </c>
    </row>
    <row r="70" spans="1:27" ht="15" customHeight="1">
      <c r="A70" s="343">
        <f t="shared" si="20"/>
        <v>27</v>
      </c>
      <c r="B70" s="280"/>
      <c r="C70" s="344"/>
      <c r="D70" s="710"/>
      <c r="E70" s="281"/>
      <c r="F70" s="344"/>
      <c r="G70" s="282"/>
      <c r="H70" s="345">
        <f>IFERROR(INDEX(【様式３】シフト表!$AK$7:$AK$106,MATCH($P70,【様式３】シフト表!$B$7:$B$106,0),1),0)</f>
        <v>0</v>
      </c>
      <c r="I70" s="111"/>
      <c r="J70" s="283"/>
      <c r="K70" s="284" t="str">
        <f t="shared" si="19"/>
        <v>-</v>
      </c>
      <c r="L70" s="136"/>
      <c r="M70" s="136"/>
      <c r="N70" s="285" t="b">
        <f t="shared" si="11"/>
        <v>0</v>
      </c>
      <c r="O70" s="346" t="b">
        <f>AND($O$41,C70=$O$42,N70,COUNTIF($O$43:$O69,TRUE)=0)</f>
        <v>0</v>
      </c>
      <c r="P70" s="287">
        <f>IF($F70&lt;&gt;$P$41,0,COUNTIF($F$44:F70,$P$41))</f>
        <v>0</v>
      </c>
      <c r="Q70" s="287" t="b">
        <f t="shared" si="12"/>
        <v>0</v>
      </c>
      <c r="R70" s="287" t="b">
        <f t="shared" si="13"/>
        <v>0</v>
      </c>
      <c r="S70" s="288" t="b">
        <f t="shared" si="14"/>
        <v>1</v>
      </c>
      <c r="T70" s="187"/>
      <c r="U70" s="347">
        <f t="shared" si="15"/>
        <v>0</v>
      </c>
      <c r="V70" s="290">
        <f t="shared" si="16"/>
        <v>0</v>
      </c>
      <c r="W70" s="347">
        <f t="shared" si="21"/>
        <v>0</v>
      </c>
      <c r="X70" s="290">
        <f t="shared" si="21"/>
        <v>0</v>
      </c>
      <c r="Y70" s="290">
        <f t="shared" si="21"/>
        <v>0</v>
      </c>
      <c r="Z70" s="348">
        <f t="shared" si="21"/>
        <v>0</v>
      </c>
      <c r="AA70" s="349">
        <f t="shared" si="18"/>
        <v>0</v>
      </c>
    </row>
    <row r="71" spans="1:27" ht="15" customHeight="1">
      <c r="A71" s="343">
        <f t="shared" si="20"/>
        <v>28</v>
      </c>
      <c r="B71" s="280"/>
      <c r="C71" s="344"/>
      <c r="D71" s="710"/>
      <c r="E71" s="281"/>
      <c r="F71" s="344"/>
      <c r="G71" s="282"/>
      <c r="H71" s="345">
        <f>IFERROR(INDEX(【様式３】シフト表!$AK$7:$AK$106,MATCH($P71,【様式３】シフト表!$B$7:$B$106,0),1),0)</f>
        <v>0</v>
      </c>
      <c r="I71" s="111"/>
      <c r="J71" s="283"/>
      <c r="K71" s="284" t="str">
        <f t="shared" si="19"/>
        <v>-</v>
      </c>
      <c r="L71" s="136"/>
      <c r="M71" s="136"/>
      <c r="N71" s="285" t="b">
        <f t="shared" si="11"/>
        <v>0</v>
      </c>
      <c r="O71" s="346" t="b">
        <f>AND($O$41,C71=$O$42,N71,COUNTIF($O$43:$O70,TRUE)=0)</f>
        <v>0</v>
      </c>
      <c r="P71" s="287">
        <f>IF($F71&lt;&gt;$P$41,0,COUNTIF($F$44:F71,$P$41))</f>
        <v>0</v>
      </c>
      <c r="Q71" s="287" t="b">
        <f t="shared" si="12"/>
        <v>0</v>
      </c>
      <c r="R71" s="287" t="b">
        <f t="shared" si="13"/>
        <v>0</v>
      </c>
      <c r="S71" s="288" t="b">
        <f t="shared" si="14"/>
        <v>1</v>
      </c>
      <c r="T71" s="187"/>
      <c r="U71" s="347">
        <f t="shared" si="15"/>
        <v>0</v>
      </c>
      <c r="V71" s="290">
        <f t="shared" si="16"/>
        <v>0</v>
      </c>
      <c r="W71" s="347">
        <f t="shared" si="21"/>
        <v>0</v>
      </c>
      <c r="X71" s="290">
        <f t="shared" si="21"/>
        <v>0</v>
      </c>
      <c r="Y71" s="290">
        <f t="shared" si="21"/>
        <v>0</v>
      </c>
      <c r="Z71" s="348">
        <f t="shared" si="21"/>
        <v>0</v>
      </c>
      <c r="AA71" s="349">
        <f t="shared" si="18"/>
        <v>0</v>
      </c>
    </row>
    <row r="72" spans="1:27" ht="15" customHeight="1">
      <c r="A72" s="343">
        <f t="shared" si="20"/>
        <v>29</v>
      </c>
      <c r="B72" s="280"/>
      <c r="C72" s="344"/>
      <c r="D72" s="710"/>
      <c r="E72" s="281"/>
      <c r="F72" s="344"/>
      <c r="G72" s="282"/>
      <c r="H72" s="345">
        <f>IFERROR(INDEX(【様式３】シフト表!$AK$7:$AK$106,MATCH($P72,【様式３】シフト表!$B$7:$B$106,0),1),0)</f>
        <v>0</v>
      </c>
      <c r="I72" s="111"/>
      <c r="J72" s="283"/>
      <c r="K72" s="284" t="str">
        <f t="shared" si="19"/>
        <v>-</v>
      </c>
      <c r="L72" s="136"/>
      <c r="M72" s="136"/>
      <c r="N72" s="285" t="b">
        <f t="shared" si="11"/>
        <v>0</v>
      </c>
      <c r="O72" s="346" t="b">
        <f>AND($O$41,C72=$O$42,N72,COUNTIF($O$43:$O71,TRUE)=0)</f>
        <v>0</v>
      </c>
      <c r="P72" s="287">
        <f>IF($F72&lt;&gt;$P$41,0,COUNTIF($F$44:F72,$P$41))</f>
        <v>0</v>
      </c>
      <c r="Q72" s="287" t="b">
        <f t="shared" si="12"/>
        <v>0</v>
      </c>
      <c r="R72" s="287" t="b">
        <f t="shared" si="13"/>
        <v>0</v>
      </c>
      <c r="S72" s="288" t="b">
        <f t="shared" si="14"/>
        <v>1</v>
      </c>
      <c r="T72" s="187"/>
      <c r="U72" s="347">
        <f t="shared" si="15"/>
        <v>0</v>
      </c>
      <c r="V72" s="290">
        <f t="shared" si="16"/>
        <v>0</v>
      </c>
      <c r="W72" s="347">
        <f t="shared" si="21"/>
        <v>0</v>
      </c>
      <c r="X72" s="290">
        <f t="shared" si="21"/>
        <v>0</v>
      </c>
      <c r="Y72" s="290">
        <f t="shared" si="21"/>
        <v>0</v>
      </c>
      <c r="Z72" s="348">
        <f t="shared" si="21"/>
        <v>0</v>
      </c>
      <c r="AA72" s="349">
        <f t="shared" si="18"/>
        <v>0</v>
      </c>
    </row>
    <row r="73" spans="1:27" ht="15" customHeight="1">
      <c r="A73" s="343">
        <f t="shared" si="20"/>
        <v>30</v>
      </c>
      <c r="B73" s="280"/>
      <c r="C73" s="344"/>
      <c r="D73" s="710"/>
      <c r="E73" s="281"/>
      <c r="F73" s="344"/>
      <c r="G73" s="282"/>
      <c r="H73" s="345">
        <f>IFERROR(INDEX(【様式３】シフト表!$AK$7:$AK$106,MATCH($P73,【様式３】シフト表!$B$7:$B$106,0),1),0)</f>
        <v>0</v>
      </c>
      <c r="I73" s="111"/>
      <c r="J73" s="283"/>
      <c r="K73" s="284" t="str">
        <f t="shared" si="19"/>
        <v>-</v>
      </c>
      <c r="L73" s="136"/>
      <c r="M73" s="136"/>
      <c r="N73" s="285" t="b">
        <f t="shared" si="11"/>
        <v>0</v>
      </c>
      <c r="O73" s="346" t="b">
        <f>AND($O$41,C73=$O$42,N73,COUNTIF($O$43:$O72,TRUE)=0)</f>
        <v>0</v>
      </c>
      <c r="P73" s="287">
        <f>IF($F73&lt;&gt;$P$41,0,COUNTIF($F$44:F73,$P$41))</f>
        <v>0</v>
      </c>
      <c r="Q73" s="287" t="b">
        <f t="shared" si="12"/>
        <v>0</v>
      </c>
      <c r="R73" s="287" t="b">
        <f t="shared" si="13"/>
        <v>0</v>
      </c>
      <c r="S73" s="288" t="b">
        <f t="shared" si="14"/>
        <v>1</v>
      </c>
      <c r="T73" s="187"/>
      <c r="U73" s="347">
        <f t="shared" si="15"/>
        <v>0</v>
      </c>
      <c r="V73" s="290">
        <f t="shared" si="16"/>
        <v>0</v>
      </c>
      <c r="W73" s="347">
        <f t="shared" si="21"/>
        <v>0</v>
      </c>
      <c r="X73" s="290">
        <f t="shared" si="21"/>
        <v>0</v>
      </c>
      <c r="Y73" s="290">
        <f t="shared" si="21"/>
        <v>0</v>
      </c>
      <c r="Z73" s="348">
        <f t="shared" si="21"/>
        <v>0</v>
      </c>
      <c r="AA73" s="349">
        <f t="shared" si="18"/>
        <v>0</v>
      </c>
    </row>
    <row r="74" spans="1:27" ht="15" customHeight="1">
      <c r="A74" s="343">
        <f t="shared" si="20"/>
        <v>31</v>
      </c>
      <c r="B74" s="280"/>
      <c r="C74" s="344"/>
      <c r="D74" s="710"/>
      <c r="E74" s="281"/>
      <c r="F74" s="344"/>
      <c r="G74" s="282"/>
      <c r="H74" s="345">
        <f>IFERROR(INDEX(【様式３】シフト表!$AK$7:$AK$106,MATCH($P74,【様式３】シフト表!$B$7:$B$106,0),1),0)</f>
        <v>0</v>
      </c>
      <c r="I74" s="111"/>
      <c r="J74" s="283"/>
      <c r="K74" s="284" t="str">
        <f t="shared" si="19"/>
        <v>-</v>
      </c>
      <c r="L74" s="136"/>
      <c r="M74" s="136"/>
      <c r="N74" s="285" t="b">
        <f t="shared" si="11"/>
        <v>0</v>
      </c>
      <c r="O74" s="346" t="b">
        <f>AND($O$41,C74=$O$42,N74,COUNTIF($O$43:$O73,TRUE)=0)</f>
        <v>0</v>
      </c>
      <c r="P74" s="287">
        <f>IF($F74&lt;&gt;$P$41,0,COUNTIF($F$44:F74,$P$41))</f>
        <v>0</v>
      </c>
      <c r="Q74" s="287" t="b">
        <f t="shared" si="12"/>
        <v>0</v>
      </c>
      <c r="R74" s="287" t="b">
        <f t="shared" si="13"/>
        <v>0</v>
      </c>
      <c r="S74" s="288" t="b">
        <f t="shared" si="14"/>
        <v>1</v>
      </c>
      <c r="T74" s="187"/>
      <c r="U74" s="347">
        <f t="shared" si="15"/>
        <v>0</v>
      </c>
      <c r="V74" s="290">
        <f t="shared" si="16"/>
        <v>0</v>
      </c>
      <c r="W74" s="347">
        <f t="shared" si="21"/>
        <v>0</v>
      </c>
      <c r="X74" s="290">
        <f t="shared" si="21"/>
        <v>0</v>
      </c>
      <c r="Y74" s="290">
        <f t="shared" si="21"/>
        <v>0</v>
      </c>
      <c r="Z74" s="348">
        <f t="shared" si="21"/>
        <v>0</v>
      </c>
      <c r="AA74" s="349">
        <f t="shared" si="18"/>
        <v>0</v>
      </c>
    </row>
    <row r="75" spans="1:27" ht="15" customHeight="1">
      <c r="A75" s="343">
        <f t="shared" si="20"/>
        <v>32</v>
      </c>
      <c r="B75" s="280"/>
      <c r="C75" s="344"/>
      <c r="D75" s="710"/>
      <c r="E75" s="281"/>
      <c r="F75" s="344"/>
      <c r="G75" s="282"/>
      <c r="H75" s="345">
        <f>IFERROR(INDEX(【様式３】シフト表!$AK$7:$AK$106,MATCH($P75,【様式３】シフト表!$B$7:$B$106,0),1),0)</f>
        <v>0</v>
      </c>
      <c r="I75" s="111"/>
      <c r="J75" s="283"/>
      <c r="K75" s="284" t="str">
        <f t="shared" si="19"/>
        <v>-</v>
      </c>
      <c r="L75" s="136"/>
      <c r="M75" s="136"/>
      <c r="N75" s="285" t="b">
        <f t="shared" si="11"/>
        <v>0</v>
      </c>
      <c r="O75" s="346" t="b">
        <f>AND($O$41,C75=$O$42,N75,COUNTIF($O$43:$O74,TRUE)=0)</f>
        <v>0</v>
      </c>
      <c r="P75" s="287">
        <f>IF($F75&lt;&gt;$P$41,0,COUNTIF($F$44:F75,$P$41))</f>
        <v>0</v>
      </c>
      <c r="Q75" s="287" t="b">
        <f t="shared" si="12"/>
        <v>0</v>
      </c>
      <c r="R75" s="287" t="b">
        <f t="shared" si="13"/>
        <v>0</v>
      </c>
      <c r="S75" s="288" t="b">
        <f t="shared" si="14"/>
        <v>1</v>
      </c>
      <c r="T75" s="187"/>
      <c r="U75" s="347">
        <f t="shared" si="15"/>
        <v>0</v>
      </c>
      <c r="V75" s="290">
        <f t="shared" si="16"/>
        <v>0</v>
      </c>
      <c r="W75" s="347">
        <f t="shared" si="21"/>
        <v>0</v>
      </c>
      <c r="X75" s="290">
        <f t="shared" si="21"/>
        <v>0</v>
      </c>
      <c r="Y75" s="290">
        <f t="shared" si="21"/>
        <v>0</v>
      </c>
      <c r="Z75" s="348">
        <f t="shared" si="21"/>
        <v>0</v>
      </c>
      <c r="AA75" s="349">
        <f t="shared" si="18"/>
        <v>0</v>
      </c>
    </row>
    <row r="76" spans="1:27" ht="15" customHeight="1">
      <c r="A76" s="343">
        <f t="shared" si="20"/>
        <v>33</v>
      </c>
      <c r="B76" s="280"/>
      <c r="C76" s="344"/>
      <c r="D76" s="710"/>
      <c r="E76" s="281"/>
      <c r="F76" s="344"/>
      <c r="G76" s="282"/>
      <c r="H76" s="345">
        <f>IFERROR(INDEX(【様式３】シフト表!$AK$7:$AK$106,MATCH($P76,【様式３】シフト表!$B$7:$B$106,0),1),0)</f>
        <v>0</v>
      </c>
      <c r="I76" s="111"/>
      <c r="J76" s="283"/>
      <c r="K76" s="284" t="str">
        <f t="shared" si="19"/>
        <v>-</v>
      </c>
      <c r="L76" s="136"/>
      <c r="M76" s="136"/>
      <c r="N76" s="285" t="b">
        <f t="shared" ref="N76:N107" si="22">$E76=$N$41</f>
        <v>0</v>
      </c>
      <c r="O76" s="346" t="b">
        <f>AND($O$41,C76=$O$42,N76,COUNTIF($O$43:$O75,TRUE)=0)</f>
        <v>0</v>
      </c>
      <c r="P76" s="287">
        <f>IF($F76&lt;&gt;$P$41,0,COUNTIF($F$44:F76,$P$41))</f>
        <v>0</v>
      </c>
      <c r="Q76" s="287" t="b">
        <f t="shared" ref="Q76:Q107" si="23">OR($D76=$AD$28,AND($D$42="幼保",$Q$41,OR($D76=$AD$29,$D76=$AD$30)),AND($D$42="幼認",$D76=$AD$29),AND($D$42="保認",$D76=$AD$30),AND($D$42="地裁",OR($D76=$AD$29,$D76=$AD$30)))</f>
        <v>0</v>
      </c>
      <c r="R76" s="287" t="b">
        <f t="shared" ref="R76:R107" si="24">OR($I76&gt;$I$42,AND($F76=$AG$28,$G76&lt;&gt;$AH$28,$G76&lt;&gt;$AH$29,$G76&lt;&gt;$AH$30,$G76&lt;&gt;$AH$31),AND($F76=$AG$29,$G76&lt;&gt;$AI$28,$G76&lt;&gt;$AI$29,$G76&lt;&gt;$AI$30,$G76&lt;&gt;$AI$31))</f>
        <v>0</v>
      </c>
      <c r="S76" s="288" t="b">
        <f t="shared" ref="S76:S107" si="25">OR($B76=0,$C76=0,$F76=0,AND($F76&lt;&gt;0,$G76=0),AND($F76=S$41,$H76=0),$I76=0)</f>
        <v>1</v>
      </c>
      <c r="T76" s="187"/>
      <c r="U76" s="347">
        <f t="shared" ref="U76:U107" si="26">IF($F76=U$40,1,0)</f>
        <v>0</v>
      </c>
      <c r="V76" s="290">
        <f t="shared" ref="V76:V107" si="27">IF($F76=V$40,$H76,0)</f>
        <v>0</v>
      </c>
      <c r="W76" s="347">
        <f t="shared" si="21"/>
        <v>0</v>
      </c>
      <c r="X76" s="290">
        <f t="shared" si="21"/>
        <v>0</v>
      </c>
      <c r="Y76" s="290">
        <f t="shared" si="21"/>
        <v>0</v>
      </c>
      <c r="Z76" s="348">
        <f t="shared" si="21"/>
        <v>0</v>
      </c>
      <c r="AA76" s="349">
        <f t="shared" ref="AA76:AA107" si="28">IF($F76=AA$40,$K76,0)</f>
        <v>0</v>
      </c>
    </row>
    <row r="77" spans="1:27" ht="15" customHeight="1">
      <c r="A77" s="343">
        <f t="shared" si="20"/>
        <v>34</v>
      </c>
      <c r="B77" s="280"/>
      <c r="C77" s="344"/>
      <c r="D77" s="710"/>
      <c r="E77" s="281"/>
      <c r="F77" s="344"/>
      <c r="G77" s="282"/>
      <c r="H77" s="345">
        <f>IFERROR(INDEX(【様式３】シフト表!$AK$7:$AK$106,MATCH($P77,【様式３】シフト表!$B$7:$B$106,0),1),0)</f>
        <v>0</v>
      </c>
      <c r="I77" s="111"/>
      <c r="J77" s="283"/>
      <c r="K77" s="284" t="str">
        <f t="shared" si="19"/>
        <v>-</v>
      </c>
      <c r="L77" s="136"/>
      <c r="M77" s="136"/>
      <c r="N77" s="285" t="b">
        <f t="shared" si="22"/>
        <v>0</v>
      </c>
      <c r="O77" s="346" t="b">
        <f>AND($O$41,C77=$O$42,N77,COUNTIF($O$43:$O76,TRUE)=0)</f>
        <v>0</v>
      </c>
      <c r="P77" s="287">
        <f>IF($F77&lt;&gt;$P$41,0,COUNTIF($F$44:F77,$P$41))</f>
        <v>0</v>
      </c>
      <c r="Q77" s="287" t="b">
        <f t="shared" si="23"/>
        <v>0</v>
      </c>
      <c r="R77" s="287" t="b">
        <f t="shared" si="24"/>
        <v>0</v>
      </c>
      <c r="S77" s="288" t="b">
        <f t="shared" si="25"/>
        <v>1</v>
      </c>
      <c r="T77" s="187"/>
      <c r="U77" s="347">
        <f t="shared" si="26"/>
        <v>0</v>
      </c>
      <c r="V77" s="290">
        <f t="shared" si="27"/>
        <v>0</v>
      </c>
      <c r="W77" s="347">
        <f t="shared" si="21"/>
        <v>0</v>
      </c>
      <c r="X77" s="290">
        <f t="shared" si="21"/>
        <v>0</v>
      </c>
      <c r="Y77" s="290">
        <f t="shared" si="21"/>
        <v>0</v>
      </c>
      <c r="Z77" s="348">
        <f t="shared" si="21"/>
        <v>0</v>
      </c>
      <c r="AA77" s="349">
        <f t="shared" si="28"/>
        <v>0</v>
      </c>
    </row>
    <row r="78" spans="1:27" ht="15" customHeight="1">
      <c r="A78" s="343">
        <f t="shared" si="20"/>
        <v>35</v>
      </c>
      <c r="B78" s="280"/>
      <c r="C78" s="344"/>
      <c r="D78" s="710"/>
      <c r="E78" s="281"/>
      <c r="F78" s="344"/>
      <c r="G78" s="282"/>
      <c r="H78" s="345">
        <f>IFERROR(INDEX(【様式３】シフト表!$AK$7:$AK$106,MATCH($P78,【様式３】シフト表!$B$7:$B$106,0),1),0)</f>
        <v>0</v>
      </c>
      <c r="I78" s="111"/>
      <c r="J78" s="283"/>
      <c r="K78" s="284" t="str">
        <f t="shared" si="19"/>
        <v>-</v>
      </c>
      <c r="L78" s="136"/>
      <c r="M78" s="136"/>
      <c r="N78" s="285" t="b">
        <f t="shared" si="22"/>
        <v>0</v>
      </c>
      <c r="O78" s="346" t="b">
        <f>AND($O$41,C78=$O$42,N78,COUNTIF($O$43:$O77,TRUE)=0)</f>
        <v>0</v>
      </c>
      <c r="P78" s="287">
        <f>IF($F78&lt;&gt;$P$41,0,COUNTIF($F$44:F78,$P$41))</f>
        <v>0</v>
      </c>
      <c r="Q78" s="287" t="b">
        <f t="shared" si="23"/>
        <v>0</v>
      </c>
      <c r="R78" s="287" t="b">
        <f t="shared" si="24"/>
        <v>0</v>
      </c>
      <c r="S78" s="288" t="b">
        <f t="shared" si="25"/>
        <v>1</v>
      </c>
      <c r="T78" s="187"/>
      <c r="U78" s="347">
        <f t="shared" si="26"/>
        <v>0</v>
      </c>
      <c r="V78" s="290">
        <f t="shared" si="27"/>
        <v>0</v>
      </c>
      <c r="W78" s="347">
        <f t="shared" si="21"/>
        <v>0</v>
      </c>
      <c r="X78" s="290">
        <f t="shared" si="21"/>
        <v>0</v>
      </c>
      <c r="Y78" s="290">
        <f t="shared" si="21"/>
        <v>0</v>
      </c>
      <c r="Z78" s="348">
        <f t="shared" si="21"/>
        <v>0</v>
      </c>
      <c r="AA78" s="349">
        <f t="shared" si="28"/>
        <v>0</v>
      </c>
    </row>
    <row r="79" spans="1:27" ht="15" customHeight="1">
      <c r="A79" s="343">
        <f t="shared" si="20"/>
        <v>36</v>
      </c>
      <c r="B79" s="280"/>
      <c r="C79" s="344"/>
      <c r="D79" s="710"/>
      <c r="E79" s="281"/>
      <c r="F79" s="344"/>
      <c r="G79" s="282"/>
      <c r="H79" s="345">
        <f>IFERROR(INDEX(【様式３】シフト表!$AK$7:$AK$106,MATCH($P79,【様式３】シフト表!$B$7:$B$106,0),1),0)</f>
        <v>0</v>
      </c>
      <c r="I79" s="111"/>
      <c r="J79" s="283"/>
      <c r="K79" s="284" t="str">
        <f t="shared" si="19"/>
        <v>-</v>
      </c>
      <c r="L79" s="136"/>
      <c r="M79" s="136"/>
      <c r="N79" s="285" t="b">
        <f t="shared" si="22"/>
        <v>0</v>
      </c>
      <c r="O79" s="346" t="b">
        <f>AND($O$41,C79=$O$42,N79,COUNTIF($O$43:$O78,TRUE)=0)</f>
        <v>0</v>
      </c>
      <c r="P79" s="287">
        <f>IF($F79&lt;&gt;$P$41,0,COUNTIF($F$44:F79,$P$41))</f>
        <v>0</v>
      </c>
      <c r="Q79" s="287" t="b">
        <f t="shared" si="23"/>
        <v>0</v>
      </c>
      <c r="R79" s="287" t="b">
        <f t="shared" si="24"/>
        <v>0</v>
      </c>
      <c r="S79" s="288" t="b">
        <f t="shared" si="25"/>
        <v>1</v>
      </c>
      <c r="T79" s="187"/>
      <c r="U79" s="347">
        <f t="shared" si="26"/>
        <v>0</v>
      </c>
      <c r="V79" s="290">
        <f t="shared" si="27"/>
        <v>0</v>
      </c>
      <c r="W79" s="347">
        <f t="shared" si="21"/>
        <v>0</v>
      </c>
      <c r="X79" s="290">
        <f t="shared" si="21"/>
        <v>0</v>
      </c>
      <c r="Y79" s="290">
        <f t="shared" si="21"/>
        <v>0</v>
      </c>
      <c r="Z79" s="348">
        <f t="shared" si="21"/>
        <v>0</v>
      </c>
      <c r="AA79" s="349">
        <f t="shared" si="28"/>
        <v>0</v>
      </c>
    </row>
    <row r="80" spans="1:27" ht="15" customHeight="1">
      <c r="A80" s="343">
        <f t="shared" si="20"/>
        <v>37</v>
      </c>
      <c r="B80" s="280"/>
      <c r="C80" s="344"/>
      <c r="D80" s="710"/>
      <c r="E80" s="281"/>
      <c r="F80" s="344"/>
      <c r="G80" s="282"/>
      <c r="H80" s="345">
        <f>IFERROR(INDEX(【様式３】シフト表!$AK$7:$AK$106,MATCH($P80,【様式３】シフト表!$B$7:$B$106,0),1),0)</f>
        <v>0</v>
      </c>
      <c r="I80" s="111"/>
      <c r="J80" s="283"/>
      <c r="K80" s="284" t="str">
        <f t="shared" si="19"/>
        <v>-</v>
      </c>
      <c r="L80" s="136"/>
      <c r="M80" s="136"/>
      <c r="N80" s="285" t="b">
        <f t="shared" si="22"/>
        <v>0</v>
      </c>
      <c r="O80" s="346" t="b">
        <f>AND($O$41,C80=$O$42,N80,COUNTIF($O$43:$O79,TRUE)=0)</f>
        <v>0</v>
      </c>
      <c r="P80" s="287">
        <f>IF($F80&lt;&gt;$P$41,0,COUNTIF($F$44:F80,$P$41))</f>
        <v>0</v>
      </c>
      <c r="Q80" s="287" t="b">
        <f t="shared" si="23"/>
        <v>0</v>
      </c>
      <c r="R80" s="287" t="b">
        <f t="shared" si="24"/>
        <v>0</v>
      </c>
      <c r="S80" s="288" t="b">
        <f t="shared" si="25"/>
        <v>1</v>
      </c>
      <c r="T80" s="187"/>
      <c r="U80" s="347">
        <f t="shared" si="26"/>
        <v>0</v>
      </c>
      <c r="V80" s="290">
        <f t="shared" si="27"/>
        <v>0</v>
      </c>
      <c r="W80" s="347">
        <f t="shared" si="21"/>
        <v>0</v>
      </c>
      <c r="X80" s="290">
        <f t="shared" si="21"/>
        <v>0</v>
      </c>
      <c r="Y80" s="290">
        <f t="shared" si="21"/>
        <v>0</v>
      </c>
      <c r="Z80" s="348">
        <f t="shared" si="21"/>
        <v>0</v>
      </c>
      <c r="AA80" s="349">
        <f t="shared" si="28"/>
        <v>0</v>
      </c>
    </row>
    <row r="81" spans="1:27" ht="15" customHeight="1">
      <c r="A81" s="343">
        <f t="shared" si="20"/>
        <v>38</v>
      </c>
      <c r="B81" s="280"/>
      <c r="C81" s="344"/>
      <c r="D81" s="710"/>
      <c r="E81" s="281"/>
      <c r="F81" s="344"/>
      <c r="G81" s="282"/>
      <c r="H81" s="345">
        <f>IFERROR(INDEX(【様式３】シフト表!$AK$7:$AK$106,MATCH($P81,【様式３】シフト表!$B$7:$B$106,0),1),0)</f>
        <v>0</v>
      </c>
      <c r="I81" s="111"/>
      <c r="J81" s="283"/>
      <c r="K81" s="284" t="str">
        <f t="shared" si="19"/>
        <v>-</v>
      </c>
      <c r="L81" s="136"/>
      <c r="M81" s="136"/>
      <c r="N81" s="285" t="b">
        <f t="shared" si="22"/>
        <v>0</v>
      </c>
      <c r="O81" s="346" t="b">
        <f>AND($O$41,C81=$O$42,N81,COUNTIF($O$43:$O80,TRUE)=0)</f>
        <v>0</v>
      </c>
      <c r="P81" s="287">
        <f>IF($F81&lt;&gt;$P$41,0,COUNTIF($F$44:F81,$P$41))</f>
        <v>0</v>
      </c>
      <c r="Q81" s="287" t="b">
        <f t="shared" si="23"/>
        <v>0</v>
      </c>
      <c r="R81" s="287" t="b">
        <f t="shared" si="24"/>
        <v>0</v>
      </c>
      <c r="S81" s="288" t="b">
        <f t="shared" si="25"/>
        <v>1</v>
      </c>
      <c r="T81" s="187"/>
      <c r="U81" s="347">
        <f t="shared" si="26"/>
        <v>0</v>
      </c>
      <c r="V81" s="290">
        <f t="shared" si="27"/>
        <v>0</v>
      </c>
      <c r="W81" s="347">
        <f t="shared" si="21"/>
        <v>0</v>
      </c>
      <c r="X81" s="290">
        <f t="shared" si="21"/>
        <v>0</v>
      </c>
      <c r="Y81" s="290">
        <f t="shared" si="21"/>
        <v>0</v>
      </c>
      <c r="Z81" s="348">
        <f t="shared" si="21"/>
        <v>0</v>
      </c>
      <c r="AA81" s="349">
        <f t="shared" si="28"/>
        <v>0</v>
      </c>
    </row>
    <row r="82" spans="1:27" ht="15" customHeight="1">
      <c r="A82" s="343">
        <f t="shared" si="20"/>
        <v>39</v>
      </c>
      <c r="B82" s="280"/>
      <c r="C82" s="344"/>
      <c r="D82" s="710"/>
      <c r="E82" s="281"/>
      <c r="F82" s="344"/>
      <c r="G82" s="282"/>
      <c r="H82" s="345">
        <f>IFERROR(INDEX(【様式３】シフト表!$AK$7:$AK$106,MATCH($P82,【様式３】シフト表!$B$7:$B$106,0),1),0)</f>
        <v>0</v>
      </c>
      <c r="I82" s="111"/>
      <c r="J82" s="283"/>
      <c r="K82" s="284" t="str">
        <f t="shared" si="19"/>
        <v>-</v>
      </c>
      <c r="L82" s="136"/>
      <c r="M82" s="136"/>
      <c r="N82" s="285" t="b">
        <f t="shared" si="22"/>
        <v>0</v>
      </c>
      <c r="O82" s="346" t="b">
        <f>AND($O$41,C82=$O$42,N82,COUNTIF($O$43:$O81,TRUE)=0)</f>
        <v>0</v>
      </c>
      <c r="P82" s="287">
        <f>IF($F82&lt;&gt;$P$41,0,COUNTIF($F$44:F82,$P$41))</f>
        <v>0</v>
      </c>
      <c r="Q82" s="287" t="b">
        <f t="shared" si="23"/>
        <v>0</v>
      </c>
      <c r="R82" s="287" t="b">
        <f t="shared" si="24"/>
        <v>0</v>
      </c>
      <c r="S82" s="288" t="b">
        <f t="shared" si="25"/>
        <v>1</v>
      </c>
      <c r="T82" s="187"/>
      <c r="U82" s="347">
        <f t="shared" si="26"/>
        <v>0</v>
      </c>
      <c r="V82" s="290">
        <f t="shared" si="27"/>
        <v>0</v>
      </c>
      <c r="W82" s="347">
        <f t="shared" si="21"/>
        <v>0</v>
      </c>
      <c r="X82" s="290">
        <f t="shared" si="21"/>
        <v>0</v>
      </c>
      <c r="Y82" s="290">
        <f t="shared" si="21"/>
        <v>0</v>
      </c>
      <c r="Z82" s="348">
        <f t="shared" si="21"/>
        <v>0</v>
      </c>
      <c r="AA82" s="349">
        <f t="shared" si="28"/>
        <v>0</v>
      </c>
    </row>
    <row r="83" spans="1:27" ht="15" customHeight="1">
      <c r="A83" s="343">
        <f t="shared" si="20"/>
        <v>40</v>
      </c>
      <c r="B83" s="280"/>
      <c r="C83" s="344"/>
      <c r="D83" s="710"/>
      <c r="E83" s="281"/>
      <c r="F83" s="344"/>
      <c r="G83" s="282"/>
      <c r="H83" s="345">
        <f>IFERROR(INDEX(【様式３】シフト表!$AK$7:$AK$106,MATCH($P83,【様式３】シフト表!$B$7:$B$106,0),1),0)</f>
        <v>0</v>
      </c>
      <c r="I83" s="111"/>
      <c r="J83" s="283"/>
      <c r="K83" s="284" t="str">
        <f t="shared" si="19"/>
        <v>-</v>
      </c>
      <c r="L83" s="136"/>
      <c r="M83" s="136"/>
      <c r="N83" s="285" t="b">
        <f t="shared" si="22"/>
        <v>0</v>
      </c>
      <c r="O83" s="346" t="b">
        <f>AND($O$41,C83=$O$42,N83,COUNTIF($O$43:$O82,TRUE)=0)</f>
        <v>0</v>
      </c>
      <c r="P83" s="287">
        <f>IF($F83&lt;&gt;$P$41,0,COUNTIF($F$44:F83,$P$41))</f>
        <v>0</v>
      </c>
      <c r="Q83" s="287" t="b">
        <f t="shared" si="23"/>
        <v>0</v>
      </c>
      <c r="R83" s="287" t="b">
        <f t="shared" si="24"/>
        <v>0</v>
      </c>
      <c r="S83" s="288" t="b">
        <f t="shared" si="25"/>
        <v>1</v>
      </c>
      <c r="T83" s="187"/>
      <c r="U83" s="347">
        <f t="shared" si="26"/>
        <v>0</v>
      </c>
      <c r="V83" s="290">
        <f t="shared" si="27"/>
        <v>0</v>
      </c>
      <c r="W83" s="347">
        <f t="shared" si="21"/>
        <v>0</v>
      </c>
      <c r="X83" s="290">
        <f t="shared" si="21"/>
        <v>0</v>
      </c>
      <c r="Y83" s="290">
        <f t="shared" si="21"/>
        <v>0</v>
      </c>
      <c r="Z83" s="348">
        <f t="shared" si="21"/>
        <v>0</v>
      </c>
      <c r="AA83" s="349">
        <f t="shared" si="28"/>
        <v>0</v>
      </c>
    </row>
    <row r="84" spans="1:27" ht="15" customHeight="1">
      <c r="A84" s="343">
        <f t="shared" si="20"/>
        <v>41</v>
      </c>
      <c r="B84" s="280"/>
      <c r="C84" s="344"/>
      <c r="D84" s="710"/>
      <c r="E84" s="281"/>
      <c r="F84" s="344"/>
      <c r="G84" s="282"/>
      <c r="H84" s="345">
        <f>IFERROR(INDEX(【様式３】シフト表!$AK$7:$AK$106,MATCH($P84,【様式３】シフト表!$B$7:$B$106,0),1),0)</f>
        <v>0</v>
      </c>
      <c r="I84" s="111"/>
      <c r="J84" s="283"/>
      <c r="K84" s="284" t="str">
        <f t="shared" si="19"/>
        <v>-</v>
      </c>
      <c r="L84" s="136"/>
      <c r="M84" s="136"/>
      <c r="N84" s="285" t="b">
        <f t="shared" si="22"/>
        <v>0</v>
      </c>
      <c r="O84" s="346" t="b">
        <f>AND($O$41,C84=$O$42,N84,COUNTIF($O$43:$O83,TRUE)=0)</f>
        <v>0</v>
      </c>
      <c r="P84" s="287">
        <f>IF($F84&lt;&gt;$P$41,0,COUNTIF($F$44:F84,$P$41))</f>
        <v>0</v>
      </c>
      <c r="Q84" s="287" t="b">
        <f t="shared" si="23"/>
        <v>0</v>
      </c>
      <c r="R84" s="287" t="b">
        <f t="shared" si="24"/>
        <v>0</v>
      </c>
      <c r="S84" s="288" t="b">
        <f t="shared" si="25"/>
        <v>1</v>
      </c>
      <c r="T84" s="187"/>
      <c r="U84" s="347">
        <f t="shared" si="26"/>
        <v>0</v>
      </c>
      <c r="V84" s="290">
        <f t="shared" si="27"/>
        <v>0</v>
      </c>
      <c r="W84" s="347">
        <f t="shared" ref="W84:Z103" si="29">IF(AND($F84=W$40,$G84=W$41),$K84,0)</f>
        <v>0</v>
      </c>
      <c r="X84" s="290">
        <f t="shared" si="29"/>
        <v>0</v>
      </c>
      <c r="Y84" s="290">
        <f t="shared" si="29"/>
        <v>0</v>
      </c>
      <c r="Z84" s="348">
        <f t="shared" si="29"/>
        <v>0</v>
      </c>
      <c r="AA84" s="349">
        <f t="shared" si="28"/>
        <v>0</v>
      </c>
    </row>
    <row r="85" spans="1:27" ht="15" customHeight="1">
      <c r="A85" s="343">
        <f t="shared" si="20"/>
        <v>42</v>
      </c>
      <c r="B85" s="280"/>
      <c r="C85" s="344"/>
      <c r="D85" s="710"/>
      <c r="E85" s="281"/>
      <c r="F85" s="344"/>
      <c r="G85" s="282"/>
      <c r="H85" s="345">
        <f>IFERROR(INDEX(【様式３】シフト表!$AK$7:$AK$106,MATCH($P85,【様式３】シフト表!$B$7:$B$106,0),1),0)</f>
        <v>0</v>
      </c>
      <c r="I85" s="111"/>
      <c r="J85" s="283"/>
      <c r="K85" s="284" t="str">
        <f t="shared" si="19"/>
        <v>-</v>
      </c>
      <c r="L85" s="136"/>
      <c r="M85" s="136"/>
      <c r="N85" s="285" t="b">
        <f t="shared" si="22"/>
        <v>0</v>
      </c>
      <c r="O85" s="346" t="b">
        <f>AND($O$41,C85=$O$42,N85,COUNTIF($O$43:$O84,TRUE)=0)</f>
        <v>0</v>
      </c>
      <c r="P85" s="287">
        <f>IF($F85&lt;&gt;$P$41,0,COUNTIF($F$44:F85,$P$41))</f>
        <v>0</v>
      </c>
      <c r="Q85" s="287" t="b">
        <f t="shared" si="23"/>
        <v>0</v>
      </c>
      <c r="R85" s="287" t="b">
        <f t="shared" si="24"/>
        <v>0</v>
      </c>
      <c r="S85" s="288" t="b">
        <f t="shared" si="25"/>
        <v>1</v>
      </c>
      <c r="T85" s="187"/>
      <c r="U85" s="347">
        <f t="shared" si="26"/>
        <v>0</v>
      </c>
      <c r="V85" s="290">
        <f t="shared" si="27"/>
        <v>0</v>
      </c>
      <c r="W85" s="347">
        <f t="shared" si="29"/>
        <v>0</v>
      </c>
      <c r="X85" s="290">
        <f t="shared" si="29"/>
        <v>0</v>
      </c>
      <c r="Y85" s="290">
        <f t="shared" si="29"/>
        <v>0</v>
      </c>
      <c r="Z85" s="348">
        <f t="shared" si="29"/>
        <v>0</v>
      </c>
      <c r="AA85" s="349">
        <f t="shared" si="28"/>
        <v>0</v>
      </c>
    </row>
    <row r="86" spans="1:27" ht="15" customHeight="1">
      <c r="A86" s="343">
        <f t="shared" si="20"/>
        <v>43</v>
      </c>
      <c r="B86" s="280"/>
      <c r="C86" s="344"/>
      <c r="D86" s="710"/>
      <c r="E86" s="281"/>
      <c r="F86" s="344"/>
      <c r="G86" s="282"/>
      <c r="H86" s="345">
        <f>IFERROR(INDEX(【様式３】シフト表!$AK$7:$AK$106,MATCH($P86,【様式３】シフト表!$B$7:$B$106,0),1),0)</f>
        <v>0</v>
      </c>
      <c r="I86" s="111"/>
      <c r="J86" s="283"/>
      <c r="K86" s="284" t="str">
        <f t="shared" si="19"/>
        <v>-</v>
      </c>
      <c r="L86" s="136"/>
      <c r="M86" s="136"/>
      <c r="N86" s="285" t="b">
        <f t="shared" si="22"/>
        <v>0</v>
      </c>
      <c r="O86" s="346" t="b">
        <f>AND($O$41,C86=$O$42,N86,COUNTIF($O$43:$O85,TRUE)=0)</f>
        <v>0</v>
      </c>
      <c r="P86" s="287">
        <f>IF($F86&lt;&gt;$P$41,0,COUNTIF($F$44:F86,$P$41))</f>
        <v>0</v>
      </c>
      <c r="Q86" s="287" t="b">
        <f t="shared" si="23"/>
        <v>0</v>
      </c>
      <c r="R86" s="287" t="b">
        <f t="shared" si="24"/>
        <v>0</v>
      </c>
      <c r="S86" s="288" t="b">
        <f t="shared" si="25"/>
        <v>1</v>
      </c>
      <c r="T86" s="187"/>
      <c r="U86" s="347">
        <f t="shared" si="26"/>
        <v>0</v>
      </c>
      <c r="V86" s="290">
        <f t="shared" si="27"/>
        <v>0</v>
      </c>
      <c r="W86" s="347">
        <f t="shared" si="29"/>
        <v>0</v>
      </c>
      <c r="X86" s="290">
        <f t="shared" si="29"/>
        <v>0</v>
      </c>
      <c r="Y86" s="290">
        <f t="shared" si="29"/>
        <v>0</v>
      </c>
      <c r="Z86" s="348">
        <f t="shared" si="29"/>
        <v>0</v>
      </c>
      <c r="AA86" s="349">
        <f t="shared" si="28"/>
        <v>0</v>
      </c>
    </row>
    <row r="87" spans="1:27" ht="15" customHeight="1">
      <c r="A87" s="343">
        <f t="shared" si="20"/>
        <v>44</v>
      </c>
      <c r="B87" s="280"/>
      <c r="C87" s="344"/>
      <c r="D87" s="710"/>
      <c r="E87" s="281"/>
      <c r="F87" s="344"/>
      <c r="G87" s="282"/>
      <c r="H87" s="345">
        <f>IFERROR(INDEX(【様式３】シフト表!$AK$7:$AK$106,MATCH($P87,【様式３】シフト表!$B$7:$B$106,0),1),0)</f>
        <v>0</v>
      </c>
      <c r="I87" s="111"/>
      <c r="J87" s="283"/>
      <c r="K87" s="284" t="str">
        <f t="shared" si="19"/>
        <v>-</v>
      </c>
      <c r="L87" s="136"/>
      <c r="M87" s="136"/>
      <c r="N87" s="285" t="b">
        <f t="shared" si="22"/>
        <v>0</v>
      </c>
      <c r="O87" s="346" t="b">
        <f>AND($O$41,C87=$O$42,N87,COUNTIF($O$43:$O86,TRUE)=0)</f>
        <v>0</v>
      </c>
      <c r="P87" s="287">
        <f>IF($F87&lt;&gt;$P$41,0,COUNTIF($F$44:F87,$P$41))</f>
        <v>0</v>
      </c>
      <c r="Q87" s="287" t="b">
        <f t="shared" si="23"/>
        <v>0</v>
      </c>
      <c r="R87" s="287" t="b">
        <f t="shared" si="24"/>
        <v>0</v>
      </c>
      <c r="S87" s="288" t="b">
        <f t="shared" si="25"/>
        <v>1</v>
      </c>
      <c r="T87" s="187"/>
      <c r="U87" s="347">
        <f t="shared" si="26"/>
        <v>0</v>
      </c>
      <c r="V87" s="290">
        <f t="shared" si="27"/>
        <v>0</v>
      </c>
      <c r="W87" s="347">
        <f t="shared" si="29"/>
        <v>0</v>
      </c>
      <c r="X87" s="290">
        <f t="shared" si="29"/>
        <v>0</v>
      </c>
      <c r="Y87" s="290">
        <f t="shared" si="29"/>
        <v>0</v>
      </c>
      <c r="Z87" s="348">
        <f t="shared" si="29"/>
        <v>0</v>
      </c>
      <c r="AA87" s="349">
        <f t="shared" si="28"/>
        <v>0</v>
      </c>
    </row>
    <row r="88" spans="1:27" ht="15" customHeight="1">
      <c r="A88" s="343">
        <f t="shared" si="20"/>
        <v>45</v>
      </c>
      <c r="B88" s="280"/>
      <c r="C88" s="344"/>
      <c r="D88" s="710"/>
      <c r="E88" s="281"/>
      <c r="F88" s="344"/>
      <c r="G88" s="282"/>
      <c r="H88" s="345">
        <f>IFERROR(INDEX(【様式３】シフト表!$AK$7:$AK$106,MATCH($P88,【様式３】シフト表!$B$7:$B$106,0),1),0)</f>
        <v>0</v>
      </c>
      <c r="I88" s="111"/>
      <c r="J88" s="283"/>
      <c r="K88" s="284" t="str">
        <f t="shared" si="19"/>
        <v>-</v>
      </c>
      <c r="L88" s="136"/>
      <c r="M88" s="136"/>
      <c r="N88" s="285" t="b">
        <f t="shared" si="22"/>
        <v>0</v>
      </c>
      <c r="O88" s="346" t="b">
        <f>AND($O$41,C88=$O$42,N88,COUNTIF($O$43:$O87,TRUE)=0)</f>
        <v>0</v>
      </c>
      <c r="P88" s="287">
        <f>IF($F88&lt;&gt;$P$41,0,COUNTIF($F$44:F88,$P$41))</f>
        <v>0</v>
      </c>
      <c r="Q88" s="287" t="b">
        <f t="shared" si="23"/>
        <v>0</v>
      </c>
      <c r="R88" s="287" t="b">
        <f t="shared" si="24"/>
        <v>0</v>
      </c>
      <c r="S88" s="288" t="b">
        <f t="shared" si="25"/>
        <v>1</v>
      </c>
      <c r="T88" s="187"/>
      <c r="U88" s="347">
        <f t="shared" si="26"/>
        <v>0</v>
      </c>
      <c r="V88" s="290">
        <f t="shared" si="27"/>
        <v>0</v>
      </c>
      <c r="W88" s="347">
        <f t="shared" si="29"/>
        <v>0</v>
      </c>
      <c r="X88" s="290">
        <f t="shared" si="29"/>
        <v>0</v>
      </c>
      <c r="Y88" s="290">
        <f t="shared" si="29"/>
        <v>0</v>
      </c>
      <c r="Z88" s="348">
        <f t="shared" si="29"/>
        <v>0</v>
      </c>
      <c r="AA88" s="349">
        <f t="shared" si="28"/>
        <v>0</v>
      </c>
    </row>
    <row r="89" spans="1:27" ht="15" customHeight="1">
      <c r="A89" s="343">
        <f t="shared" si="20"/>
        <v>46</v>
      </c>
      <c r="B89" s="280"/>
      <c r="C89" s="344"/>
      <c r="D89" s="710"/>
      <c r="E89" s="281"/>
      <c r="F89" s="344"/>
      <c r="G89" s="282"/>
      <c r="H89" s="345">
        <f>IFERROR(INDEX(【様式３】シフト表!$AK$7:$AK$106,MATCH($P89,【様式３】シフト表!$B$7:$B$106,0),1),0)</f>
        <v>0</v>
      </c>
      <c r="I89" s="111"/>
      <c r="J89" s="283"/>
      <c r="K89" s="284" t="str">
        <f t="shared" si="19"/>
        <v>-</v>
      </c>
      <c r="L89" s="136"/>
      <c r="M89" s="136"/>
      <c r="N89" s="285" t="b">
        <f t="shared" si="22"/>
        <v>0</v>
      </c>
      <c r="O89" s="346" t="b">
        <f>AND($O$41,C89=$O$42,N89,COUNTIF($O$43:$O88,TRUE)=0)</f>
        <v>0</v>
      </c>
      <c r="P89" s="287">
        <f>IF($F89&lt;&gt;$P$41,0,COUNTIF($F$44:F89,$P$41))</f>
        <v>0</v>
      </c>
      <c r="Q89" s="287" t="b">
        <f t="shared" si="23"/>
        <v>0</v>
      </c>
      <c r="R89" s="287" t="b">
        <f t="shared" si="24"/>
        <v>0</v>
      </c>
      <c r="S89" s="288" t="b">
        <f t="shared" si="25"/>
        <v>1</v>
      </c>
      <c r="T89" s="187"/>
      <c r="U89" s="347">
        <f t="shared" si="26"/>
        <v>0</v>
      </c>
      <c r="V89" s="290">
        <f t="shared" si="27"/>
        <v>0</v>
      </c>
      <c r="W89" s="347">
        <f t="shared" si="29"/>
        <v>0</v>
      </c>
      <c r="X89" s="290">
        <f t="shared" si="29"/>
        <v>0</v>
      </c>
      <c r="Y89" s="290">
        <f t="shared" si="29"/>
        <v>0</v>
      </c>
      <c r="Z89" s="348">
        <f t="shared" si="29"/>
        <v>0</v>
      </c>
      <c r="AA89" s="349">
        <f t="shared" si="28"/>
        <v>0</v>
      </c>
    </row>
    <row r="90" spans="1:27" ht="15" customHeight="1">
      <c r="A90" s="343">
        <f t="shared" si="20"/>
        <v>47</v>
      </c>
      <c r="B90" s="280"/>
      <c r="C90" s="344"/>
      <c r="D90" s="710"/>
      <c r="E90" s="281"/>
      <c r="F90" s="344"/>
      <c r="G90" s="282"/>
      <c r="H90" s="345">
        <f>IFERROR(INDEX(【様式３】シフト表!$AK$7:$AK$106,MATCH($P90,【様式３】シフト表!$B$7:$B$106,0),1),0)</f>
        <v>0</v>
      </c>
      <c r="I90" s="111"/>
      <c r="J90" s="283"/>
      <c r="K90" s="284" t="str">
        <f t="shared" si="19"/>
        <v>-</v>
      </c>
      <c r="L90" s="136"/>
      <c r="M90" s="136"/>
      <c r="N90" s="285" t="b">
        <f t="shared" si="22"/>
        <v>0</v>
      </c>
      <c r="O90" s="346" t="b">
        <f>AND($O$41,C90=$O$42,N90,COUNTIF($O$43:$O89,TRUE)=0)</f>
        <v>0</v>
      </c>
      <c r="P90" s="287">
        <f>IF($F90&lt;&gt;$P$41,0,COUNTIF($F$44:F90,$P$41))</f>
        <v>0</v>
      </c>
      <c r="Q90" s="287" t="b">
        <f t="shared" si="23"/>
        <v>0</v>
      </c>
      <c r="R90" s="287" t="b">
        <f t="shared" si="24"/>
        <v>0</v>
      </c>
      <c r="S90" s="288" t="b">
        <f t="shared" si="25"/>
        <v>1</v>
      </c>
      <c r="T90" s="187"/>
      <c r="U90" s="347">
        <f t="shared" si="26"/>
        <v>0</v>
      </c>
      <c r="V90" s="290">
        <f t="shared" si="27"/>
        <v>0</v>
      </c>
      <c r="W90" s="347">
        <f t="shared" si="29"/>
        <v>0</v>
      </c>
      <c r="X90" s="290">
        <f t="shared" si="29"/>
        <v>0</v>
      </c>
      <c r="Y90" s="290">
        <f t="shared" si="29"/>
        <v>0</v>
      </c>
      <c r="Z90" s="348">
        <f t="shared" si="29"/>
        <v>0</v>
      </c>
      <c r="AA90" s="349">
        <f t="shared" si="28"/>
        <v>0</v>
      </c>
    </row>
    <row r="91" spans="1:27" ht="15" customHeight="1">
      <c r="A91" s="343">
        <f t="shared" si="20"/>
        <v>48</v>
      </c>
      <c r="B91" s="280"/>
      <c r="C91" s="344"/>
      <c r="D91" s="710"/>
      <c r="E91" s="281"/>
      <c r="F91" s="344"/>
      <c r="G91" s="282"/>
      <c r="H91" s="345">
        <f>IFERROR(INDEX(【様式３】シフト表!$AK$7:$AK$106,MATCH($P91,【様式３】シフト表!$B$7:$B$106,0),1),0)</f>
        <v>0</v>
      </c>
      <c r="I91" s="111"/>
      <c r="J91" s="283"/>
      <c r="K91" s="284" t="str">
        <f t="shared" si="19"/>
        <v>-</v>
      </c>
      <c r="L91" s="136"/>
      <c r="M91" s="136"/>
      <c r="N91" s="285" t="b">
        <f t="shared" si="22"/>
        <v>0</v>
      </c>
      <c r="O91" s="346" t="b">
        <f>AND($O$41,C91=$O$42,N91,COUNTIF($O$43:$O90,TRUE)=0)</f>
        <v>0</v>
      </c>
      <c r="P91" s="287">
        <f>IF($F91&lt;&gt;$P$41,0,COUNTIF($F$44:F91,$P$41))</f>
        <v>0</v>
      </c>
      <c r="Q91" s="287" t="b">
        <f t="shared" si="23"/>
        <v>0</v>
      </c>
      <c r="R91" s="287" t="b">
        <f t="shared" si="24"/>
        <v>0</v>
      </c>
      <c r="S91" s="288" t="b">
        <f t="shared" si="25"/>
        <v>1</v>
      </c>
      <c r="T91" s="187"/>
      <c r="U91" s="347">
        <f t="shared" si="26"/>
        <v>0</v>
      </c>
      <c r="V91" s="290">
        <f t="shared" si="27"/>
        <v>0</v>
      </c>
      <c r="W91" s="347">
        <f t="shared" si="29"/>
        <v>0</v>
      </c>
      <c r="X91" s="290">
        <f t="shared" si="29"/>
        <v>0</v>
      </c>
      <c r="Y91" s="290">
        <f t="shared" si="29"/>
        <v>0</v>
      </c>
      <c r="Z91" s="348">
        <f t="shared" si="29"/>
        <v>0</v>
      </c>
      <c r="AA91" s="349">
        <f t="shared" si="28"/>
        <v>0</v>
      </c>
    </row>
    <row r="92" spans="1:27" ht="15" customHeight="1">
      <c r="A92" s="343">
        <f t="shared" si="20"/>
        <v>49</v>
      </c>
      <c r="B92" s="280"/>
      <c r="C92" s="344"/>
      <c r="D92" s="710"/>
      <c r="E92" s="281"/>
      <c r="F92" s="344"/>
      <c r="G92" s="282"/>
      <c r="H92" s="345">
        <f>IFERROR(INDEX(【様式３】シフト表!$AK$7:$AK$106,MATCH($P92,【様式３】シフト表!$B$7:$B$106,0),1),0)</f>
        <v>0</v>
      </c>
      <c r="I92" s="111"/>
      <c r="J92" s="283"/>
      <c r="K92" s="284" t="str">
        <f t="shared" si="19"/>
        <v>-</v>
      </c>
      <c r="L92" s="136"/>
      <c r="M92" s="136"/>
      <c r="N92" s="285" t="b">
        <f t="shared" si="22"/>
        <v>0</v>
      </c>
      <c r="O92" s="346" t="b">
        <f>AND($O$41,C92=$O$42,N92,COUNTIF($O$43:$O91,TRUE)=0)</f>
        <v>0</v>
      </c>
      <c r="P92" s="287">
        <f>IF($F92&lt;&gt;$P$41,0,COUNTIF($F$44:F92,$P$41))</f>
        <v>0</v>
      </c>
      <c r="Q92" s="287" t="b">
        <f t="shared" si="23"/>
        <v>0</v>
      </c>
      <c r="R92" s="287" t="b">
        <f t="shared" si="24"/>
        <v>0</v>
      </c>
      <c r="S92" s="288" t="b">
        <f t="shared" si="25"/>
        <v>1</v>
      </c>
      <c r="T92" s="187"/>
      <c r="U92" s="347">
        <f t="shared" si="26"/>
        <v>0</v>
      </c>
      <c r="V92" s="290">
        <f t="shared" si="27"/>
        <v>0</v>
      </c>
      <c r="W92" s="347">
        <f t="shared" si="29"/>
        <v>0</v>
      </c>
      <c r="X92" s="290">
        <f t="shared" si="29"/>
        <v>0</v>
      </c>
      <c r="Y92" s="290">
        <f t="shared" si="29"/>
        <v>0</v>
      </c>
      <c r="Z92" s="348">
        <f t="shared" si="29"/>
        <v>0</v>
      </c>
      <c r="AA92" s="349">
        <f t="shared" si="28"/>
        <v>0</v>
      </c>
    </row>
    <row r="93" spans="1:27" ht="15" customHeight="1">
      <c r="A93" s="343">
        <f t="shared" si="20"/>
        <v>50</v>
      </c>
      <c r="B93" s="280"/>
      <c r="C93" s="344"/>
      <c r="D93" s="710"/>
      <c r="E93" s="281"/>
      <c r="F93" s="344"/>
      <c r="G93" s="282"/>
      <c r="H93" s="345">
        <f>IFERROR(INDEX(【様式３】シフト表!$AK$7:$AK$106,MATCH($P93,【様式３】シフト表!$B$7:$B$106,0),1),0)</f>
        <v>0</v>
      </c>
      <c r="I93" s="111"/>
      <c r="J93" s="283"/>
      <c r="K93" s="284" t="str">
        <f t="shared" si="19"/>
        <v>-</v>
      </c>
      <c r="L93" s="136"/>
      <c r="M93" s="136"/>
      <c r="N93" s="285" t="b">
        <f t="shared" si="22"/>
        <v>0</v>
      </c>
      <c r="O93" s="346" t="b">
        <f>AND($O$41,C93=$O$42,N93,COUNTIF($O$43:$O92,TRUE)=0)</f>
        <v>0</v>
      </c>
      <c r="P93" s="287">
        <f>IF($F93&lt;&gt;$P$41,0,COUNTIF($F$44:F93,$P$41))</f>
        <v>0</v>
      </c>
      <c r="Q93" s="287" t="b">
        <f t="shared" si="23"/>
        <v>0</v>
      </c>
      <c r="R93" s="287" t="b">
        <f t="shared" si="24"/>
        <v>0</v>
      </c>
      <c r="S93" s="288" t="b">
        <f t="shared" si="25"/>
        <v>1</v>
      </c>
      <c r="T93" s="187"/>
      <c r="U93" s="347">
        <f t="shared" si="26"/>
        <v>0</v>
      </c>
      <c r="V93" s="290">
        <f t="shared" si="27"/>
        <v>0</v>
      </c>
      <c r="W93" s="347">
        <f t="shared" si="29"/>
        <v>0</v>
      </c>
      <c r="X93" s="290">
        <f t="shared" si="29"/>
        <v>0</v>
      </c>
      <c r="Y93" s="290">
        <f t="shared" si="29"/>
        <v>0</v>
      </c>
      <c r="Z93" s="348">
        <f t="shared" si="29"/>
        <v>0</v>
      </c>
      <c r="AA93" s="349">
        <f t="shared" si="28"/>
        <v>0</v>
      </c>
    </row>
    <row r="94" spans="1:27" ht="15" customHeight="1">
      <c r="A94" s="343">
        <f t="shared" si="20"/>
        <v>51</v>
      </c>
      <c r="B94" s="280"/>
      <c r="C94" s="344"/>
      <c r="D94" s="710"/>
      <c r="E94" s="281"/>
      <c r="F94" s="344"/>
      <c r="G94" s="282"/>
      <c r="H94" s="345">
        <f>IFERROR(INDEX(【様式３】シフト表!$AK$7:$AK$106,MATCH($P94,【様式３】シフト表!$B$7:$B$106,0),1),0)</f>
        <v>0</v>
      </c>
      <c r="I94" s="111"/>
      <c r="J94" s="283"/>
      <c r="K94" s="284" t="str">
        <f t="shared" si="19"/>
        <v>-</v>
      </c>
      <c r="L94" s="136"/>
      <c r="M94" s="136"/>
      <c r="N94" s="285" t="b">
        <f t="shared" si="22"/>
        <v>0</v>
      </c>
      <c r="O94" s="346" t="b">
        <f>AND($O$41,C94=$O$42,N94,COUNTIF($O$43:$O93,TRUE)=0)</f>
        <v>0</v>
      </c>
      <c r="P94" s="287">
        <f>IF($F94&lt;&gt;$P$41,0,COUNTIF($F$44:F94,$P$41))</f>
        <v>0</v>
      </c>
      <c r="Q94" s="287" t="b">
        <f t="shared" si="23"/>
        <v>0</v>
      </c>
      <c r="R94" s="287" t="b">
        <f t="shared" si="24"/>
        <v>0</v>
      </c>
      <c r="S94" s="288" t="b">
        <f t="shared" si="25"/>
        <v>1</v>
      </c>
      <c r="T94" s="187"/>
      <c r="U94" s="347">
        <f t="shared" si="26"/>
        <v>0</v>
      </c>
      <c r="V94" s="290">
        <f t="shared" si="27"/>
        <v>0</v>
      </c>
      <c r="W94" s="347">
        <f t="shared" si="29"/>
        <v>0</v>
      </c>
      <c r="X94" s="290">
        <f t="shared" si="29"/>
        <v>0</v>
      </c>
      <c r="Y94" s="290">
        <f t="shared" si="29"/>
        <v>0</v>
      </c>
      <c r="Z94" s="348">
        <f t="shared" si="29"/>
        <v>0</v>
      </c>
      <c r="AA94" s="349">
        <f t="shared" si="28"/>
        <v>0</v>
      </c>
    </row>
    <row r="95" spans="1:27" ht="15" customHeight="1">
      <c r="A95" s="343">
        <f t="shared" si="20"/>
        <v>52</v>
      </c>
      <c r="B95" s="280"/>
      <c r="C95" s="344"/>
      <c r="D95" s="710"/>
      <c r="E95" s="281"/>
      <c r="F95" s="344"/>
      <c r="G95" s="282"/>
      <c r="H95" s="345">
        <f>IFERROR(INDEX(【様式３】シフト表!$AK$7:$AK$106,MATCH($P95,【様式３】シフト表!$B$7:$B$106,0),1),0)</f>
        <v>0</v>
      </c>
      <c r="I95" s="111"/>
      <c r="J95" s="283"/>
      <c r="K95" s="284" t="str">
        <f t="shared" si="19"/>
        <v>-</v>
      </c>
      <c r="L95" s="136"/>
      <c r="M95" s="136"/>
      <c r="N95" s="285" t="b">
        <f t="shared" si="22"/>
        <v>0</v>
      </c>
      <c r="O95" s="346" t="b">
        <f>AND($O$41,C95=$O$42,N95,COUNTIF($O$43:$O94,TRUE)=0)</f>
        <v>0</v>
      </c>
      <c r="P95" s="287">
        <f>IF($F95&lt;&gt;$P$41,0,COUNTIF($F$44:F95,$P$41))</f>
        <v>0</v>
      </c>
      <c r="Q95" s="287" t="b">
        <f t="shared" si="23"/>
        <v>0</v>
      </c>
      <c r="R95" s="287" t="b">
        <f t="shared" si="24"/>
        <v>0</v>
      </c>
      <c r="S95" s="288" t="b">
        <f t="shared" si="25"/>
        <v>1</v>
      </c>
      <c r="T95" s="187"/>
      <c r="U95" s="347">
        <f t="shared" si="26"/>
        <v>0</v>
      </c>
      <c r="V95" s="290">
        <f t="shared" si="27"/>
        <v>0</v>
      </c>
      <c r="W95" s="347">
        <f t="shared" si="29"/>
        <v>0</v>
      </c>
      <c r="X95" s="290">
        <f t="shared" si="29"/>
        <v>0</v>
      </c>
      <c r="Y95" s="290">
        <f t="shared" si="29"/>
        <v>0</v>
      </c>
      <c r="Z95" s="348">
        <f t="shared" si="29"/>
        <v>0</v>
      </c>
      <c r="AA95" s="349">
        <f t="shared" si="28"/>
        <v>0</v>
      </c>
    </row>
    <row r="96" spans="1:27" ht="15" customHeight="1">
      <c r="A96" s="343">
        <f t="shared" si="20"/>
        <v>53</v>
      </c>
      <c r="B96" s="280"/>
      <c r="C96" s="344"/>
      <c r="D96" s="710"/>
      <c r="E96" s="281"/>
      <c r="F96" s="344"/>
      <c r="G96" s="282"/>
      <c r="H96" s="345">
        <f>IFERROR(INDEX(【様式３】シフト表!$AK$7:$AK$106,MATCH($P96,【様式３】シフト表!$B$7:$B$106,0),1),0)</f>
        <v>0</v>
      </c>
      <c r="I96" s="111"/>
      <c r="J96" s="283"/>
      <c r="K96" s="284" t="str">
        <f t="shared" si="19"/>
        <v>-</v>
      </c>
      <c r="L96" s="136"/>
      <c r="M96" s="136"/>
      <c r="N96" s="285" t="b">
        <f t="shared" si="22"/>
        <v>0</v>
      </c>
      <c r="O96" s="346" t="b">
        <f>AND($O$41,C96=$O$42,N96,COUNTIF($O$43:$O95,TRUE)=0)</f>
        <v>0</v>
      </c>
      <c r="P96" s="287">
        <f>IF($F96&lt;&gt;$P$41,0,COUNTIF($F$44:F96,$P$41))</f>
        <v>0</v>
      </c>
      <c r="Q96" s="287" t="b">
        <f t="shared" si="23"/>
        <v>0</v>
      </c>
      <c r="R96" s="287" t="b">
        <f t="shared" si="24"/>
        <v>0</v>
      </c>
      <c r="S96" s="288" t="b">
        <f t="shared" si="25"/>
        <v>1</v>
      </c>
      <c r="T96" s="187"/>
      <c r="U96" s="347">
        <f t="shared" si="26"/>
        <v>0</v>
      </c>
      <c r="V96" s="290">
        <f t="shared" si="27"/>
        <v>0</v>
      </c>
      <c r="W96" s="347">
        <f t="shared" si="29"/>
        <v>0</v>
      </c>
      <c r="X96" s="290">
        <f t="shared" si="29"/>
        <v>0</v>
      </c>
      <c r="Y96" s="290">
        <f t="shared" si="29"/>
        <v>0</v>
      </c>
      <c r="Z96" s="348">
        <f t="shared" si="29"/>
        <v>0</v>
      </c>
      <c r="AA96" s="349">
        <f t="shared" si="28"/>
        <v>0</v>
      </c>
    </row>
    <row r="97" spans="1:27" ht="15" customHeight="1">
      <c r="A97" s="343">
        <f t="shared" si="20"/>
        <v>54</v>
      </c>
      <c r="B97" s="280"/>
      <c r="C97" s="344"/>
      <c r="D97" s="710"/>
      <c r="E97" s="281"/>
      <c r="F97" s="344"/>
      <c r="G97" s="282"/>
      <c r="H97" s="345">
        <f>IFERROR(INDEX(【様式３】シフト表!$AK$7:$AK$106,MATCH($P97,【様式３】シフト表!$B$7:$B$106,0),1),0)</f>
        <v>0</v>
      </c>
      <c r="I97" s="111"/>
      <c r="J97" s="283"/>
      <c r="K97" s="284" t="str">
        <f t="shared" si="19"/>
        <v>-</v>
      </c>
      <c r="L97" s="136"/>
      <c r="M97" s="136"/>
      <c r="N97" s="285" t="b">
        <f t="shared" si="22"/>
        <v>0</v>
      </c>
      <c r="O97" s="346" t="b">
        <f>AND($O$41,C97=$O$42,N97,COUNTIF($O$43:$O96,TRUE)=0)</f>
        <v>0</v>
      </c>
      <c r="P97" s="287">
        <f>IF($F97&lt;&gt;$P$41,0,COUNTIF($F$44:F97,$P$41))</f>
        <v>0</v>
      </c>
      <c r="Q97" s="287" t="b">
        <f t="shared" si="23"/>
        <v>0</v>
      </c>
      <c r="R97" s="287" t="b">
        <f t="shared" si="24"/>
        <v>0</v>
      </c>
      <c r="S97" s="288" t="b">
        <f t="shared" si="25"/>
        <v>1</v>
      </c>
      <c r="T97" s="187"/>
      <c r="U97" s="347">
        <f t="shared" si="26"/>
        <v>0</v>
      </c>
      <c r="V97" s="290">
        <f t="shared" si="27"/>
        <v>0</v>
      </c>
      <c r="W97" s="347">
        <f t="shared" si="29"/>
        <v>0</v>
      </c>
      <c r="X97" s="290">
        <f t="shared" si="29"/>
        <v>0</v>
      </c>
      <c r="Y97" s="290">
        <f t="shared" si="29"/>
        <v>0</v>
      </c>
      <c r="Z97" s="348">
        <f t="shared" si="29"/>
        <v>0</v>
      </c>
      <c r="AA97" s="349">
        <f t="shared" si="28"/>
        <v>0</v>
      </c>
    </row>
    <row r="98" spans="1:27" ht="15" customHeight="1">
      <c r="A98" s="343">
        <f t="shared" si="20"/>
        <v>55</v>
      </c>
      <c r="B98" s="280"/>
      <c r="C98" s="344"/>
      <c r="D98" s="710"/>
      <c r="E98" s="281"/>
      <c r="F98" s="344"/>
      <c r="G98" s="282"/>
      <c r="H98" s="345">
        <f>IFERROR(INDEX(【様式３】シフト表!$AK$7:$AK$106,MATCH($P98,【様式３】シフト表!$B$7:$B$106,0),1),0)</f>
        <v>0</v>
      </c>
      <c r="I98" s="111"/>
      <c r="J98" s="283"/>
      <c r="K98" s="284" t="str">
        <f t="shared" si="19"/>
        <v>-</v>
      </c>
      <c r="L98" s="136"/>
      <c r="M98" s="136"/>
      <c r="N98" s="285" t="b">
        <f t="shared" si="22"/>
        <v>0</v>
      </c>
      <c r="O98" s="346" t="b">
        <f>AND($O$41,C98=$O$42,N98,COUNTIF($O$43:$O97,TRUE)=0)</f>
        <v>0</v>
      </c>
      <c r="P98" s="287">
        <f>IF($F98&lt;&gt;$P$41,0,COUNTIF($F$44:F98,$P$41))</f>
        <v>0</v>
      </c>
      <c r="Q98" s="287" t="b">
        <f t="shared" si="23"/>
        <v>0</v>
      </c>
      <c r="R98" s="287" t="b">
        <f t="shared" si="24"/>
        <v>0</v>
      </c>
      <c r="S98" s="288" t="b">
        <f t="shared" si="25"/>
        <v>1</v>
      </c>
      <c r="T98" s="187"/>
      <c r="U98" s="347">
        <f t="shared" si="26"/>
        <v>0</v>
      </c>
      <c r="V98" s="290">
        <f t="shared" si="27"/>
        <v>0</v>
      </c>
      <c r="W98" s="347">
        <f t="shared" si="29"/>
        <v>0</v>
      </c>
      <c r="X98" s="290">
        <f t="shared" si="29"/>
        <v>0</v>
      </c>
      <c r="Y98" s="290">
        <f t="shared" si="29"/>
        <v>0</v>
      </c>
      <c r="Z98" s="348">
        <f t="shared" si="29"/>
        <v>0</v>
      </c>
      <c r="AA98" s="349">
        <f t="shared" si="28"/>
        <v>0</v>
      </c>
    </row>
    <row r="99" spans="1:27" ht="15" customHeight="1">
      <c r="A99" s="343">
        <f t="shared" si="20"/>
        <v>56</v>
      </c>
      <c r="B99" s="280"/>
      <c r="C99" s="344"/>
      <c r="D99" s="710"/>
      <c r="E99" s="281"/>
      <c r="F99" s="344"/>
      <c r="G99" s="282"/>
      <c r="H99" s="345">
        <f>IFERROR(INDEX(【様式３】シフト表!$AK$7:$AK$106,MATCH($P99,【様式３】シフト表!$B$7:$B$106,0),1),0)</f>
        <v>0</v>
      </c>
      <c r="I99" s="111"/>
      <c r="J99" s="283"/>
      <c r="K99" s="284" t="str">
        <f t="shared" si="19"/>
        <v>-</v>
      </c>
      <c r="L99" s="136"/>
      <c r="M99" s="136"/>
      <c r="N99" s="285" t="b">
        <f t="shared" si="22"/>
        <v>0</v>
      </c>
      <c r="O99" s="346" t="b">
        <f>AND($O$41,C99=$O$42,N99,COUNTIF($O$43:$O98,TRUE)=0)</f>
        <v>0</v>
      </c>
      <c r="P99" s="287">
        <f>IF($F99&lt;&gt;$P$41,0,COUNTIF($F$44:F99,$P$41))</f>
        <v>0</v>
      </c>
      <c r="Q99" s="287" t="b">
        <f t="shared" si="23"/>
        <v>0</v>
      </c>
      <c r="R99" s="287" t="b">
        <f t="shared" si="24"/>
        <v>0</v>
      </c>
      <c r="S99" s="288" t="b">
        <f t="shared" si="25"/>
        <v>1</v>
      </c>
      <c r="T99" s="187"/>
      <c r="U99" s="347">
        <f t="shared" si="26"/>
        <v>0</v>
      </c>
      <c r="V99" s="290">
        <f t="shared" si="27"/>
        <v>0</v>
      </c>
      <c r="W99" s="347">
        <f t="shared" si="29"/>
        <v>0</v>
      </c>
      <c r="X99" s="290">
        <f t="shared" si="29"/>
        <v>0</v>
      </c>
      <c r="Y99" s="290">
        <f t="shared" si="29"/>
        <v>0</v>
      </c>
      <c r="Z99" s="348">
        <f t="shared" si="29"/>
        <v>0</v>
      </c>
      <c r="AA99" s="349">
        <f t="shared" si="28"/>
        <v>0</v>
      </c>
    </row>
    <row r="100" spans="1:27" ht="15" customHeight="1">
      <c r="A100" s="343">
        <f t="shared" si="20"/>
        <v>57</v>
      </c>
      <c r="B100" s="280"/>
      <c r="C100" s="344"/>
      <c r="D100" s="710"/>
      <c r="E100" s="281"/>
      <c r="F100" s="344"/>
      <c r="G100" s="282"/>
      <c r="H100" s="345">
        <f>IFERROR(INDEX(【様式３】シフト表!$AK$7:$AK$106,MATCH($P100,【様式３】シフト表!$B$7:$B$106,0),1),0)</f>
        <v>0</v>
      </c>
      <c r="I100" s="111"/>
      <c r="J100" s="283"/>
      <c r="K100" s="284" t="str">
        <f t="shared" si="19"/>
        <v>-</v>
      </c>
      <c r="L100" s="136"/>
      <c r="M100" s="136"/>
      <c r="N100" s="285" t="b">
        <f t="shared" si="22"/>
        <v>0</v>
      </c>
      <c r="O100" s="346" t="b">
        <f>AND($O$41,C100=$O$42,N100,COUNTIF($O$43:$O99,TRUE)=0)</f>
        <v>0</v>
      </c>
      <c r="P100" s="287">
        <f>IF($F100&lt;&gt;$P$41,0,COUNTIF($F$44:F100,$P$41))</f>
        <v>0</v>
      </c>
      <c r="Q100" s="287" t="b">
        <f t="shared" si="23"/>
        <v>0</v>
      </c>
      <c r="R100" s="287" t="b">
        <f t="shared" si="24"/>
        <v>0</v>
      </c>
      <c r="S100" s="288" t="b">
        <f t="shared" si="25"/>
        <v>1</v>
      </c>
      <c r="T100" s="187"/>
      <c r="U100" s="347">
        <f t="shared" si="26"/>
        <v>0</v>
      </c>
      <c r="V100" s="290">
        <f t="shared" si="27"/>
        <v>0</v>
      </c>
      <c r="W100" s="347">
        <f t="shared" si="29"/>
        <v>0</v>
      </c>
      <c r="X100" s="290">
        <f t="shared" si="29"/>
        <v>0</v>
      </c>
      <c r="Y100" s="290">
        <f t="shared" si="29"/>
        <v>0</v>
      </c>
      <c r="Z100" s="348">
        <f t="shared" si="29"/>
        <v>0</v>
      </c>
      <c r="AA100" s="349">
        <f t="shared" si="28"/>
        <v>0</v>
      </c>
    </row>
    <row r="101" spans="1:27" ht="15" customHeight="1">
      <c r="A101" s="343">
        <f t="shared" si="20"/>
        <v>58</v>
      </c>
      <c r="B101" s="280"/>
      <c r="C101" s="344"/>
      <c r="D101" s="710"/>
      <c r="E101" s="281"/>
      <c r="F101" s="344"/>
      <c r="G101" s="282"/>
      <c r="H101" s="345">
        <f>IFERROR(INDEX(【様式３】シフト表!$AK$7:$AK$106,MATCH($P101,【様式３】シフト表!$B$7:$B$106,0),1),0)</f>
        <v>0</v>
      </c>
      <c r="I101" s="111"/>
      <c r="J101" s="283"/>
      <c r="K101" s="284" t="str">
        <f t="shared" si="19"/>
        <v>-</v>
      </c>
      <c r="L101" s="136"/>
      <c r="M101" s="136"/>
      <c r="N101" s="285" t="b">
        <f t="shared" si="22"/>
        <v>0</v>
      </c>
      <c r="O101" s="346" t="b">
        <f>AND($O$41,C101=$O$42,N101,COUNTIF($O$43:$O100,TRUE)=0)</f>
        <v>0</v>
      </c>
      <c r="P101" s="287">
        <f>IF($F101&lt;&gt;$P$41,0,COUNTIF($F$44:F101,$P$41))</f>
        <v>0</v>
      </c>
      <c r="Q101" s="287" t="b">
        <f t="shared" si="23"/>
        <v>0</v>
      </c>
      <c r="R101" s="287" t="b">
        <f t="shared" si="24"/>
        <v>0</v>
      </c>
      <c r="S101" s="288" t="b">
        <f t="shared" si="25"/>
        <v>1</v>
      </c>
      <c r="T101" s="187"/>
      <c r="U101" s="347">
        <f t="shared" si="26"/>
        <v>0</v>
      </c>
      <c r="V101" s="290">
        <f t="shared" si="27"/>
        <v>0</v>
      </c>
      <c r="W101" s="347">
        <f t="shared" si="29"/>
        <v>0</v>
      </c>
      <c r="X101" s="290">
        <f t="shared" si="29"/>
        <v>0</v>
      </c>
      <c r="Y101" s="290">
        <f t="shared" si="29"/>
        <v>0</v>
      </c>
      <c r="Z101" s="348">
        <f t="shared" si="29"/>
        <v>0</v>
      </c>
      <c r="AA101" s="349">
        <f t="shared" si="28"/>
        <v>0</v>
      </c>
    </row>
    <row r="102" spans="1:27" ht="15" customHeight="1">
      <c r="A102" s="343">
        <f t="shared" si="20"/>
        <v>59</v>
      </c>
      <c r="B102" s="280"/>
      <c r="C102" s="344"/>
      <c r="D102" s="710"/>
      <c r="E102" s="281"/>
      <c r="F102" s="344"/>
      <c r="G102" s="282"/>
      <c r="H102" s="345">
        <f>IFERROR(INDEX(【様式３】シフト表!$AK$7:$AK$106,MATCH($P102,【様式３】シフト表!$B$7:$B$106,0),1),0)</f>
        <v>0</v>
      </c>
      <c r="I102" s="111"/>
      <c r="J102" s="283"/>
      <c r="K102" s="284" t="str">
        <f t="shared" si="19"/>
        <v>-</v>
      </c>
      <c r="L102" s="136"/>
      <c r="M102" s="136"/>
      <c r="N102" s="285" t="b">
        <f t="shared" si="22"/>
        <v>0</v>
      </c>
      <c r="O102" s="346" t="b">
        <f>AND($O$41,C102=$O$42,N102,COUNTIF($O$43:$O101,TRUE)=0)</f>
        <v>0</v>
      </c>
      <c r="P102" s="287">
        <f>IF($F102&lt;&gt;$P$41,0,COUNTIF($F$44:F102,$P$41))</f>
        <v>0</v>
      </c>
      <c r="Q102" s="287" t="b">
        <f t="shared" si="23"/>
        <v>0</v>
      </c>
      <c r="R102" s="287" t="b">
        <f t="shared" si="24"/>
        <v>0</v>
      </c>
      <c r="S102" s="288" t="b">
        <f t="shared" si="25"/>
        <v>1</v>
      </c>
      <c r="T102" s="187"/>
      <c r="U102" s="347">
        <f t="shared" si="26"/>
        <v>0</v>
      </c>
      <c r="V102" s="290">
        <f t="shared" si="27"/>
        <v>0</v>
      </c>
      <c r="W102" s="347">
        <f t="shared" si="29"/>
        <v>0</v>
      </c>
      <c r="X102" s="290">
        <f t="shared" si="29"/>
        <v>0</v>
      </c>
      <c r="Y102" s="290">
        <f t="shared" si="29"/>
        <v>0</v>
      </c>
      <c r="Z102" s="348">
        <f t="shared" si="29"/>
        <v>0</v>
      </c>
      <c r="AA102" s="349">
        <f t="shared" si="28"/>
        <v>0</v>
      </c>
    </row>
    <row r="103" spans="1:27" ht="15" customHeight="1">
      <c r="A103" s="343">
        <f t="shared" si="20"/>
        <v>60</v>
      </c>
      <c r="B103" s="280"/>
      <c r="C103" s="344"/>
      <c r="D103" s="710"/>
      <c r="E103" s="281"/>
      <c r="F103" s="344"/>
      <c r="G103" s="282"/>
      <c r="H103" s="345">
        <f>IFERROR(INDEX(【様式３】シフト表!$AK$7:$AK$106,MATCH($P103,【様式３】シフト表!$B$7:$B$106,0),1),0)</f>
        <v>0</v>
      </c>
      <c r="I103" s="111"/>
      <c r="J103" s="283"/>
      <c r="K103" s="284" t="str">
        <f t="shared" si="19"/>
        <v>-</v>
      </c>
      <c r="L103" s="136"/>
      <c r="M103" s="136"/>
      <c r="N103" s="285" t="b">
        <f t="shared" si="22"/>
        <v>0</v>
      </c>
      <c r="O103" s="346" t="b">
        <f>AND($O$41,C103=$O$42,N103,COUNTIF($O$43:$O102,TRUE)=0)</f>
        <v>0</v>
      </c>
      <c r="P103" s="287">
        <f>IF($F103&lt;&gt;$P$41,0,COUNTIF($F$44:F103,$P$41))</f>
        <v>0</v>
      </c>
      <c r="Q103" s="287" t="b">
        <f t="shared" si="23"/>
        <v>0</v>
      </c>
      <c r="R103" s="287" t="b">
        <f t="shared" si="24"/>
        <v>0</v>
      </c>
      <c r="S103" s="288" t="b">
        <f t="shared" si="25"/>
        <v>1</v>
      </c>
      <c r="T103" s="187"/>
      <c r="U103" s="347">
        <f t="shared" si="26"/>
        <v>0</v>
      </c>
      <c r="V103" s="290">
        <f t="shared" si="27"/>
        <v>0</v>
      </c>
      <c r="W103" s="347">
        <f t="shared" si="29"/>
        <v>0</v>
      </c>
      <c r="X103" s="290">
        <f t="shared" si="29"/>
        <v>0</v>
      </c>
      <c r="Y103" s="290">
        <f t="shared" si="29"/>
        <v>0</v>
      </c>
      <c r="Z103" s="348">
        <f t="shared" si="29"/>
        <v>0</v>
      </c>
      <c r="AA103" s="349">
        <f t="shared" si="28"/>
        <v>0</v>
      </c>
    </row>
    <row r="104" spans="1:27" ht="15" customHeight="1">
      <c r="A104" s="343">
        <f t="shared" si="20"/>
        <v>61</v>
      </c>
      <c r="B104" s="280"/>
      <c r="C104" s="344"/>
      <c r="D104" s="710"/>
      <c r="E104" s="281"/>
      <c r="F104" s="344"/>
      <c r="G104" s="282"/>
      <c r="H104" s="345">
        <f>IFERROR(INDEX(【様式３】シフト表!$AK$7:$AK$106,MATCH($P104,【様式３】シフト表!$B$7:$B$106,0),1),0)</f>
        <v>0</v>
      </c>
      <c r="I104" s="111"/>
      <c r="J104" s="283"/>
      <c r="K104" s="284" t="str">
        <f t="shared" si="19"/>
        <v>-</v>
      </c>
      <c r="L104" s="136"/>
      <c r="M104" s="136"/>
      <c r="N104" s="285" t="b">
        <f t="shared" si="22"/>
        <v>0</v>
      </c>
      <c r="O104" s="346" t="b">
        <f>AND($O$41,C104=$O$42,N104,COUNTIF($O$43:$O103,TRUE)=0)</f>
        <v>0</v>
      </c>
      <c r="P104" s="287">
        <f>IF($F104&lt;&gt;$P$41,0,COUNTIF($F$44:F104,$P$41))</f>
        <v>0</v>
      </c>
      <c r="Q104" s="287" t="b">
        <f t="shared" si="23"/>
        <v>0</v>
      </c>
      <c r="R104" s="287" t="b">
        <f t="shared" si="24"/>
        <v>0</v>
      </c>
      <c r="S104" s="288" t="b">
        <f t="shared" si="25"/>
        <v>1</v>
      </c>
      <c r="T104" s="187"/>
      <c r="U104" s="347">
        <f t="shared" si="26"/>
        <v>0</v>
      </c>
      <c r="V104" s="290">
        <f t="shared" si="27"/>
        <v>0</v>
      </c>
      <c r="W104" s="347">
        <f t="shared" ref="W104:Z123" si="30">IF(AND($F104=W$40,$G104=W$41),$K104,0)</f>
        <v>0</v>
      </c>
      <c r="X104" s="290">
        <f t="shared" si="30"/>
        <v>0</v>
      </c>
      <c r="Y104" s="290">
        <f t="shared" si="30"/>
        <v>0</v>
      </c>
      <c r="Z104" s="348">
        <f t="shared" si="30"/>
        <v>0</v>
      </c>
      <c r="AA104" s="349">
        <f t="shared" si="28"/>
        <v>0</v>
      </c>
    </row>
    <row r="105" spans="1:27" ht="15" customHeight="1">
      <c r="A105" s="343">
        <f t="shared" si="20"/>
        <v>62</v>
      </c>
      <c r="B105" s="280"/>
      <c r="C105" s="344"/>
      <c r="D105" s="710"/>
      <c r="E105" s="281"/>
      <c r="F105" s="344"/>
      <c r="G105" s="282"/>
      <c r="H105" s="345">
        <f>IFERROR(INDEX(【様式３】シフト表!$AK$7:$AK$106,MATCH($P105,【様式３】シフト表!$B$7:$B$106,0),1),0)</f>
        <v>0</v>
      </c>
      <c r="I105" s="111"/>
      <c r="J105" s="283"/>
      <c r="K105" s="284" t="str">
        <f t="shared" si="19"/>
        <v>-</v>
      </c>
      <c r="L105" s="136"/>
      <c r="M105" s="136"/>
      <c r="N105" s="285" t="b">
        <f t="shared" si="22"/>
        <v>0</v>
      </c>
      <c r="O105" s="346" t="b">
        <f>AND($O$41,C105=$O$42,N105,COUNTIF($O$43:$O104,TRUE)=0)</f>
        <v>0</v>
      </c>
      <c r="P105" s="287">
        <f>IF($F105&lt;&gt;$P$41,0,COUNTIF($F$44:F105,$P$41))</f>
        <v>0</v>
      </c>
      <c r="Q105" s="287" t="b">
        <f t="shared" si="23"/>
        <v>0</v>
      </c>
      <c r="R105" s="287" t="b">
        <f t="shared" si="24"/>
        <v>0</v>
      </c>
      <c r="S105" s="288" t="b">
        <f t="shared" si="25"/>
        <v>1</v>
      </c>
      <c r="T105" s="187"/>
      <c r="U105" s="347">
        <f t="shared" si="26"/>
        <v>0</v>
      </c>
      <c r="V105" s="290">
        <f t="shared" si="27"/>
        <v>0</v>
      </c>
      <c r="W105" s="347">
        <f t="shared" si="30"/>
        <v>0</v>
      </c>
      <c r="X105" s="290">
        <f t="shared" si="30"/>
        <v>0</v>
      </c>
      <c r="Y105" s="290">
        <f t="shared" si="30"/>
        <v>0</v>
      </c>
      <c r="Z105" s="348">
        <f t="shared" si="30"/>
        <v>0</v>
      </c>
      <c r="AA105" s="349">
        <f t="shared" si="28"/>
        <v>0</v>
      </c>
    </row>
    <row r="106" spans="1:27" ht="15" customHeight="1">
      <c r="A106" s="343">
        <f t="shared" si="20"/>
        <v>63</v>
      </c>
      <c r="B106" s="280"/>
      <c r="C106" s="344"/>
      <c r="D106" s="710"/>
      <c r="E106" s="281"/>
      <c r="F106" s="344"/>
      <c r="G106" s="282"/>
      <c r="H106" s="345">
        <f>IFERROR(INDEX(【様式３】シフト表!$AK$7:$AK$106,MATCH($P106,【様式３】シフト表!$B$7:$B$106,0),1),0)</f>
        <v>0</v>
      </c>
      <c r="I106" s="111"/>
      <c r="J106" s="283"/>
      <c r="K106" s="284" t="str">
        <f t="shared" si="19"/>
        <v>-</v>
      </c>
      <c r="L106" s="136"/>
      <c r="M106" s="136"/>
      <c r="N106" s="285" t="b">
        <f t="shared" si="22"/>
        <v>0</v>
      </c>
      <c r="O106" s="346" t="b">
        <f>AND($O$41,C106=$O$42,N106,COUNTIF($O$43:$O105,TRUE)=0)</f>
        <v>0</v>
      </c>
      <c r="P106" s="287">
        <f>IF($F106&lt;&gt;$P$41,0,COUNTIF($F$44:F106,$P$41))</f>
        <v>0</v>
      </c>
      <c r="Q106" s="287" t="b">
        <f t="shared" si="23"/>
        <v>0</v>
      </c>
      <c r="R106" s="287" t="b">
        <f t="shared" si="24"/>
        <v>0</v>
      </c>
      <c r="S106" s="288" t="b">
        <f t="shared" si="25"/>
        <v>1</v>
      </c>
      <c r="T106" s="187"/>
      <c r="U106" s="347">
        <f t="shared" si="26"/>
        <v>0</v>
      </c>
      <c r="V106" s="290">
        <f t="shared" si="27"/>
        <v>0</v>
      </c>
      <c r="W106" s="347">
        <f t="shared" si="30"/>
        <v>0</v>
      </c>
      <c r="X106" s="290">
        <f t="shared" si="30"/>
        <v>0</v>
      </c>
      <c r="Y106" s="290">
        <f t="shared" si="30"/>
        <v>0</v>
      </c>
      <c r="Z106" s="348">
        <f t="shared" si="30"/>
        <v>0</v>
      </c>
      <c r="AA106" s="349">
        <f t="shared" si="28"/>
        <v>0</v>
      </c>
    </row>
    <row r="107" spans="1:27" ht="15" customHeight="1">
      <c r="A107" s="343">
        <f t="shared" si="20"/>
        <v>64</v>
      </c>
      <c r="B107" s="280"/>
      <c r="C107" s="344"/>
      <c r="D107" s="710"/>
      <c r="E107" s="281"/>
      <c r="F107" s="344"/>
      <c r="G107" s="282"/>
      <c r="H107" s="345">
        <f>IFERROR(INDEX(【様式３】シフト表!$AK$7:$AK$106,MATCH($P107,【様式３】シフト表!$B$7:$B$106,0),1),0)</f>
        <v>0</v>
      </c>
      <c r="I107" s="111"/>
      <c r="J107" s="283"/>
      <c r="K107" s="284" t="str">
        <f t="shared" si="19"/>
        <v>-</v>
      </c>
      <c r="L107" s="136"/>
      <c r="M107" s="136"/>
      <c r="N107" s="285" t="b">
        <f t="shared" si="22"/>
        <v>0</v>
      </c>
      <c r="O107" s="346" t="b">
        <f>AND($O$41,C107=$O$42,N107,COUNTIF($O$43:$O106,TRUE)=0)</f>
        <v>0</v>
      </c>
      <c r="P107" s="287">
        <f>IF($F107&lt;&gt;$P$41,0,COUNTIF($F$44:F107,$P$41))</f>
        <v>0</v>
      </c>
      <c r="Q107" s="287" t="b">
        <f t="shared" si="23"/>
        <v>0</v>
      </c>
      <c r="R107" s="287" t="b">
        <f t="shared" si="24"/>
        <v>0</v>
      </c>
      <c r="S107" s="288" t="b">
        <f t="shared" si="25"/>
        <v>1</v>
      </c>
      <c r="T107" s="187"/>
      <c r="U107" s="347">
        <f t="shared" si="26"/>
        <v>0</v>
      </c>
      <c r="V107" s="290">
        <f t="shared" si="27"/>
        <v>0</v>
      </c>
      <c r="W107" s="347">
        <f t="shared" si="30"/>
        <v>0</v>
      </c>
      <c r="X107" s="290">
        <f t="shared" si="30"/>
        <v>0</v>
      </c>
      <c r="Y107" s="290">
        <f t="shared" si="30"/>
        <v>0</v>
      </c>
      <c r="Z107" s="348">
        <f t="shared" si="30"/>
        <v>0</v>
      </c>
      <c r="AA107" s="349">
        <f t="shared" si="28"/>
        <v>0</v>
      </c>
    </row>
    <row r="108" spans="1:27" ht="15" customHeight="1">
      <c r="A108" s="343">
        <f t="shared" si="20"/>
        <v>65</v>
      </c>
      <c r="B108" s="280"/>
      <c r="C108" s="344"/>
      <c r="D108" s="710"/>
      <c r="E108" s="281"/>
      <c r="F108" s="344"/>
      <c r="G108" s="282"/>
      <c r="H108" s="345">
        <f>IFERROR(INDEX(【様式３】シフト表!$AK$7:$AK$106,MATCH($P108,【様式３】シフト表!$B$7:$B$106,0),1),0)</f>
        <v>0</v>
      </c>
      <c r="I108" s="111"/>
      <c r="J108" s="283"/>
      <c r="K108" s="284" t="str">
        <f t="shared" si="19"/>
        <v>-</v>
      </c>
      <c r="L108" s="136"/>
      <c r="M108" s="136"/>
      <c r="N108" s="285" t="b">
        <f t="shared" ref="N108:N143" si="31">$E108=$N$41</f>
        <v>0</v>
      </c>
      <c r="O108" s="346" t="b">
        <f>AND($O$41,C108=$O$42,N108,COUNTIF($O$43:$O107,TRUE)=0)</f>
        <v>0</v>
      </c>
      <c r="P108" s="287">
        <f>IF($F108&lt;&gt;$P$41,0,COUNTIF($F$44:F108,$P$41))</f>
        <v>0</v>
      </c>
      <c r="Q108" s="287" t="b">
        <f t="shared" ref="Q108:Q143" si="32">OR($D108=$AD$28,AND($D$42="幼保",$Q$41,OR($D108=$AD$29,$D108=$AD$30)),AND($D$42="幼認",$D108=$AD$29),AND($D$42="保認",$D108=$AD$30),AND($D$42="地裁",OR($D108=$AD$29,$D108=$AD$30)))</f>
        <v>0</v>
      </c>
      <c r="R108" s="287" t="b">
        <f t="shared" ref="R108:R143" si="33">OR($I108&gt;$I$42,AND($F108=$AG$28,$G108&lt;&gt;$AH$28,$G108&lt;&gt;$AH$29,$G108&lt;&gt;$AH$30,$G108&lt;&gt;$AH$31),AND($F108=$AG$29,$G108&lt;&gt;$AI$28,$G108&lt;&gt;$AI$29,$G108&lt;&gt;$AI$30,$G108&lt;&gt;$AI$31))</f>
        <v>0</v>
      </c>
      <c r="S108" s="288" t="b">
        <f t="shared" ref="S108:S143" si="34">OR($B108=0,$C108=0,$F108=0,AND($F108&lt;&gt;0,$G108=0),AND($F108=S$41,$H108=0),$I108=0)</f>
        <v>1</v>
      </c>
      <c r="T108" s="187"/>
      <c r="U108" s="347">
        <f t="shared" ref="U108:U143" si="35">IF($F108=U$40,1,0)</f>
        <v>0</v>
      </c>
      <c r="V108" s="290">
        <f t="shared" ref="V108:V143" si="36">IF($F108=V$40,$H108,0)</f>
        <v>0</v>
      </c>
      <c r="W108" s="347">
        <f t="shared" si="30"/>
        <v>0</v>
      </c>
      <c r="X108" s="290">
        <f t="shared" si="30"/>
        <v>0</v>
      </c>
      <c r="Y108" s="290">
        <f t="shared" si="30"/>
        <v>0</v>
      </c>
      <c r="Z108" s="348">
        <f t="shared" si="30"/>
        <v>0</v>
      </c>
      <c r="AA108" s="349">
        <f t="shared" ref="AA108:AA143" si="37">IF($F108=AA$40,$K108,0)</f>
        <v>0</v>
      </c>
    </row>
    <row r="109" spans="1:27" ht="15" customHeight="1">
      <c r="A109" s="343">
        <f t="shared" si="20"/>
        <v>66</v>
      </c>
      <c r="B109" s="280"/>
      <c r="C109" s="344"/>
      <c r="D109" s="710"/>
      <c r="E109" s="281"/>
      <c r="F109" s="344"/>
      <c r="G109" s="282"/>
      <c r="H109" s="345">
        <f>IFERROR(INDEX(【様式３】シフト表!$AK$7:$AK$106,MATCH($P109,【様式３】シフト表!$B$7:$B$106,0),1),0)</f>
        <v>0</v>
      </c>
      <c r="I109" s="111"/>
      <c r="J109" s="283"/>
      <c r="K109" s="284" t="str">
        <f t="shared" ref="K109:K143" si="38">IF($B$37=B109,$K$37,IF(N109,IF(OR(S109,R109),"エラー",IF($C109=$AC$37,IF(O109,$AC$30,$AC$36),IF(OR($C109=$AC$30,$C109=$AC$31),IF(Q109,C109,$AC$36),IF(C109=$AC$29,$AC$30,C109)))),"-"))</f>
        <v>-</v>
      </c>
      <c r="L109" s="136"/>
      <c r="M109" s="136"/>
      <c r="N109" s="285" t="b">
        <f t="shared" si="31"/>
        <v>0</v>
      </c>
      <c r="O109" s="346" t="b">
        <f>AND($O$41,C109=$O$42,N109,COUNTIF($O$43:$O108,TRUE)=0)</f>
        <v>0</v>
      </c>
      <c r="P109" s="287">
        <f>IF($F109&lt;&gt;$P$41,0,COUNTIF($F$44:F109,$P$41))</f>
        <v>0</v>
      </c>
      <c r="Q109" s="287" t="b">
        <f t="shared" si="32"/>
        <v>0</v>
      </c>
      <c r="R109" s="287" t="b">
        <f t="shared" si="33"/>
        <v>0</v>
      </c>
      <c r="S109" s="288" t="b">
        <f t="shared" si="34"/>
        <v>1</v>
      </c>
      <c r="T109" s="187"/>
      <c r="U109" s="347">
        <f t="shared" si="35"/>
        <v>0</v>
      </c>
      <c r="V109" s="290">
        <f t="shared" si="36"/>
        <v>0</v>
      </c>
      <c r="W109" s="347">
        <f t="shared" si="30"/>
        <v>0</v>
      </c>
      <c r="X109" s="290">
        <f t="shared" si="30"/>
        <v>0</v>
      </c>
      <c r="Y109" s="290">
        <f t="shared" si="30"/>
        <v>0</v>
      </c>
      <c r="Z109" s="348">
        <f t="shared" si="30"/>
        <v>0</v>
      </c>
      <c r="AA109" s="349">
        <f t="shared" si="37"/>
        <v>0</v>
      </c>
    </row>
    <row r="110" spans="1:27" ht="15" customHeight="1">
      <c r="A110" s="343">
        <f t="shared" ref="A110:A143" si="39">A109+1</f>
        <v>67</v>
      </c>
      <c r="B110" s="280"/>
      <c r="C110" s="344"/>
      <c r="D110" s="710"/>
      <c r="E110" s="281"/>
      <c r="F110" s="344"/>
      <c r="G110" s="282"/>
      <c r="H110" s="345">
        <f>IFERROR(INDEX(【様式３】シフト表!$AK$7:$AK$106,MATCH($P110,【様式３】シフト表!$B$7:$B$106,0),1),0)</f>
        <v>0</v>
      </c>
      <c r="I110" s="111"/>
      <c r="J110" s="283"/>
      <c r="K110" s="284" t="str">
        <f t="shared" si="38"/>
        <v>-</v>
      </c>
      <c r="L110" s="136"/>
      <c r="M110" s="136"/>
      <c r="N110" s="285" t="b">
        <f t="shared" si="31"/>
        <v>0</v>
      </c>
      <c r="O110" s="346" t="b">
        <f>AND($O$41,C110=$O$42,N110,COUNTIF($O$43:$O109,TRUE)=0)</f>
        <v>0</v>
      </c>
      <c r="P110" s="287">
        <f>IF($F110&lt;&gt;$P$41,0,COUNTIF($F$44:F110,$P$41))</f>
        <v>0</v>
      </c>
      <c r="Q110" s="287" t="b">
        <f t="shared" si="32"/>
        <v>0</v>
      </c>
      <c r="R110" s="287" t="b">
        <f t="shared" si="33"/>
        <v>0</v>
      </c>
      <c r="S110" s="288" t="b">
        <f t="shared" si="34"/>
        <v>1</v>
      </c>
      <c r="T110" s="187"/>
      <c r="U110" s="347">
        <f t="shared" si="35"/>
        <v>0</v>
      </c>
      <c r="V110" s="290">
        <f t="shared" si="36"/>
        <v>0</v>
      </c>
      <c r="W110" s="347">
        <f t="shared" si="30"/>
        <v>0</v>
      </c>
      <c r="X110" s="290">
        <f t="shared" si="30"/>
        <v>0</v>
      </c>
      <c r="Y110" s="290">
        <f t="shared" si="30"/>
        <v>0</v>
      </c>
      <c r="Z110" s="348">
        <f t="shared" si="30"/>
        <v>0</v>
      </c>
      <c r="AA110" s="349">
        <f t="shared" si="37"/>
        <v>0</v>
      </c>
    </row>
    <row r="111" spans="1:27" ht="15" customHeight="1">
      <c r="A111" s="343">
        <f t="shared" si="39"/>
        <v>68</v>
      </c>
      <c r="B111" s="280"/>
      <c r="C111" s="344"/>
      <c r="D111" s="710"/>
      <c r="E111" s="281"/>
      <c r="F111" s="344"/>
      <c r="G111" s="282"/>
      <c r="H111" s="345">
        <f>IFERROR(INDEX(【様式３】シフト表!$AK$7:$AK$106,MATCH($P111,【様式３】シフト表!$B$7:$B$106,0),1),0)</f>
        <v>0</v>
      </c>
      <c r="I111" s="111"/>
      <c r="J111" s="283"/>
      <c r="K111" s="284" t="str">
        <f t="shared" si="38"/>
        <v>-</v>
      </c>
      <c r="L111" s="136"/>
      <c r="M111" s="136"/>
      <c r="N111" s="285" t="b">
        <f t="shared" si="31"/>
        <v>0</v>
      </c>
      <c r="O111" s="346" t="b">
        <f>AND($O$41,C111=$O$42,N111,COUNTIF($O$43:$O110,TRUE)=0)</f>
        <v>0</v>
      </c>
      <c r="P111" s="287">
        <f>IF($F111&lt;&gt;$P$41,0,COUNTIF($F$44:F111,$P$41))</f>
        <v>0</v>
      </c>
      <c r="Q111" s="287" t="b">
        <f t="shared" si="32"/>
        <v>0</v>
      </c>
      <c r="R111" s="287" t="b">
        <f t="shared" si="33"/>
        <v>0</v>
      </c>
      <c r="S111" s="288" t="b">
        <f t="shared" si="34"/>
        <v>1</v>
      </c>
      <c r="T111" s="187"/>
      <c r="U111" s="347">
        <f t="shared" si="35"/>
        <v>0</v>
      </c>
      <c r="V111" s="290">
        <f t="shared" si="36"/>
        <v>0</v>
      </c>
      <c r="W111" s="347">
        <f t="shared" si="30"/>
        <v>0</v>
      </c>
      <c r="X111" s="290">
        <f t="shared" si="30"/>
        <v>0</v>
      </c>
      <c r="Y111" s="290">
        <f t="shared" si="30"/>
        <v>0</v>
      </c>
      <c r="Z111" s="348">
        <f t="shared" si="30"/>
        <v>0</v>
      </c>
      <c r="AA111" s="349">
        <f t="shared" si="37"/>
        <v>0</v>
      </c>
    </row>
    <row r="112" spans="1:27" ht="15" customHeight="1">
      <c r="A112" s="343">
        <f t="shared" si="39"/>
        <v>69</v>
      </c>
      <c r="B112" s="280"/>
      <c r="C112" s="344"/>
      <c r="D112" s="710"/>
      <c r="E112" s="281"/>
      <c r="F112" s="344"/>
      <c r="G112" s="282"/>
      <c r="H112" s="345">
        <f>IFERROR(INDEX(【様式３】シフト表!$AK$7:$AK$106,MATCH($P112,【様式３】シフト表!$B$7:$B$106,0),1),0)</f>
        <v>0</v>
      </c>
      <c r="I112" s="111"/>
      <c r="J112" s="283"/>
      <c r="K112" s="284" t="str">
        <f t="shared" si="38"/>
        <v>-</v>
      </c>
      <c r="L112" s="136"/>
      <c r="M112" s="136"/>
      <c r="N112" s="285" t="b">
        <f t="shared" si="31"/>
        <v>0</v>
      </c>
      <c r="O112" s="346" t="b">
        <f>AND($O$41,C112=$O$42,N112,COUNTIF($O$43:$O111,TRUE)=0)</f>
        <v>0</v>
      </c>
      <c r="P112" s="287">
        <f>IF($F112&lt;&gt;$P$41,0,COUNTIF($F$44:F112,$P$41))</f>
        <v>0</v>
      </c>
      <c r="Q112" s="287" t="b">
        <f t="shared" si="32"/>
        <v>0</v>
      </c>
      <c r="R112" s="287" t="b">
        <f t="shared" si="33"/>
        <v>0</v>
      </c>
      <c r="S112" s="288" t="b">
        <f t="shared" si="34"/>
        <v>1</v>
      </c>
      <c r="T112" s="187"/>
      <c r="U112" s="347">
        <f t="shared" si="35"/>
        <v>0</v>
      </c>
      <c r="V112" s="290">
        <f t="shared" si="36"/>
        <v>0</v>
      </c>
      <c r="W112" s="347">
        <f t="shared" si="30"/>
        <v>0</v>
      </c>
      <c r="X112" s="290">
        <f t="shared" si="30"/>
        <v>0</v>
      </c>
      <c r="Y112" s="290">
        <f t="shared" si="30"/>
        <v>0</v>
      </c>
      <c r="Z112" s="348">
        <f t="shared" si="30"/>
        <v>0</v>
      </c>
      <c r="AA112" s="349">
        <f t="shared" si="37"/>
        <v>0</v>
      </c>
    </row>
    <row r="113" spans="1:27" ht="15" customHeight="1">
      <c r="A113" s="343">
        <f t="shared" si="39"/>
        <v>70</v>
      </c>
      <c r="B113" s="280"/>
      <c r="C113" s="344"/>
      <c r="D113" s="710"/>
      <c r="E113" s="281"/>
      <c r="F113" s="344"/>
      <c r="G113" s="282"/>
      <c r="H113" s="345">
        <f>IFERROR(INDEX(【様式３】シフト表!$AK$7:$AK$106,MATCH($P113,【様式３】シフト表!$B$7:$B$106,0),1),0)</f>
        <v>0</v>
      </c>
      <c r="I113" s="111"/>
      <c r="J113" s="283"/>
      <c r="K113" s="284" t="str">
        <f t="shared" si="38"/>
        <v>-</v>
      </c>
      <c r="L113" s="136"/>
      <c r="M113" s="136"/>
      <c r="N113" s="285" t="b">
        <f t="shared" si="31"/>
        <v>0</v>
      </c>
      <c r="O113" s="346" t="b">
        <f>AND($O$41,C113=$O$42,N113,COUNTIF($O$43:$O112,TRUE)=0)</f>
        <v>0</v>
      </c>
      <c r="P113" s="287">
        <f>IF($F113&lt;&gt;$P$41,0,COUNTIF($F$44:F113,$P$41))</f>
        <v>0</v>
      </c>
      <c r="Q113" s="287" t="b">
        <f t="shared" si="32"/>
        <v>0</v>
      </c>
      <c r="R113" s="287" t="b">
        <f t="shared" si="33"/>
        <v>0</v>
      </c>
      <c r="S113" s="288" t="b">
        <f t="shared" si="34"/>
        <v>1</v>
      </c>
      <c r="T113" s="187"/>
      <c r="U113" s="347">
        <f t="shared" si="35"/>
        <v>0</v>
      </c>
      <c r="V113" s="290">
        <f t="shared" si="36"/>
        <v>0</v>
      </c>
      <c r="W113" s="347">
        <f t="shared" si="30"/>
        <v>0</v>
      </c>
      <c r="X113" s="290">
        <f t="shared" si="30"/>
        <v>0</v>
      </c>
      <c r="Y113" s="290">
        <f t="shared" si="30"/>
        <v>0</v>
      </c>
      <c r="Z113" s="348">
        <f t="shared" si="30"/>
        <v>0</v>
      </c>
      <c r="AA113" s="349">
        <f t="shared" si="37"/>
        <v>0</v>
      </c>
    </row>
    <row r="114" spans="1:27" ht="15" customHeight="1">
      <c r="A114" s="343">
        <f t="shared" si="39"/>
        <v>71</v>
      </c>
      <c r="B114" s="280"/>
      <c r="C114" s="344"/>
      <c r="D114" s="710"/>
      <c r="E114" s="281"/>
      <c r="F114" s="344"/>
      <c r="G114" s="282"/>
      <c r="H114" s="345">
        <f>IFERROR(INDEX(【様式３】シフト表!$AK$7:$AK$106,MATCH($P114,【様式３】シフト表!$B$7:$B$106,0),1),0)</f>
        <v>0</v>
      </c>
      <c r="I114" s="111"/>
      <c r="J114" s="283"/>
      <c r="K114" s="284" t="str">
        <f t="shared" si="38"/>
        <v>-</v>
      </c>
      <c r="L114" s="136"/>
      <c r="M114" s="136"/>
      <c r="N114" s="285" t="b">
        <f t="shared" si="31"/>
        <v>0</v>
      </c>
      <c r="O114" s="346" t="b">
        <f>AND($O$41,C114=$O$42,N114,COUNTIF($O$43:$O113,TRUE)=0)</f>
        <v>0</v>
      </c>
      <c r="P114" s="287">
        <f>IF($F114&lt;&gt;$P$41,0,COUNTIF($F$44:F114,$P$41))</f>
        <v>0</v>
      </c>
      <c r="Q114" s="287" t="b">
        <f t="shared" si="32"/>
        <v>0</v>
      </c>
      <c r="R114" s="287" t="b">
        <f t="shared" si="33"/>
        <v>0</v>
      </c>
      <c r="S114" s="288" t="b">
        <f t="shared" si="34"/>
        <v>1</v>
      </c>
      <c r="T114" s="187"/>
      <c r="U114" s="347">
        <f t="shared" si="35"/>
        <v>0</v>
      </c>
      <c r="V114" s="290">
        <f t="shared" si="36"/>
        <v>0</v>
      </c>
      <c r="W114" s="347">
        <f t="shared" si="30"/>
        <v>0</v>
      </c>
      <c r="X114" s="290">
        <f t="shared" si="30"/>
        <v>0</v>
      </c>
      <c r="Y114" s="290">
        <f t="shared" si="30"/>
        <v>0</v>
      </c>
      <c r="Z114" s="348">
        <f t="shared" si="30"/>
        <v>0</v>
      </c>
      <c r="AA114" s="349">
        <f t="shared" si="37"/>
        <v>0</v>
      </c>
    </row>
    <row r="115" spans="1:27" ht="15" customHeight="1">
      <c r="A115" s="343">
        <f t="shared" si="39"/>
        <v>72</v>
      </c>
      <c r="B115" s="280"/>
      <c r="C115" s="344"/>
      <c r="D115" s="710"/>
      <c r="E115" s="281"/>
      <c r="F115" s="344"/>
      <c r="G115" s="282"/>
      <c r="H115" s="345">
        <f>IFERROR(INDEX(【様式３】シフト表!$AK$7:$AK$106,MATCH($P115,【様式３】シフト表!$B$7:$B$106,0),1),0)</f>
        <v>0</v>
      </c>
      <c r="I115" s="111"/>
      <c r="J115" s="283"/>
      <c r="K115" s="284" t="str">
        <f t="shared" si="38"/>
        <v>-</v>
      </c>
      <c r="L115" s="136"/>
      <c r="M115" s="136"/>
      <c r="N115" s="285" t="b">
        <f t="shared" si="31"/>
        <v>0</v>
      </c>
      <c r="O115" s="346" t="b">
        <f>AND($O$41,C115=$O$42,N115,COUNTIF($O$43:$O114,TRUE)=0)</f>
        <v>0</v>
      </c>
      <c r="P115" s="287">
        <f>IF($F115&lt;&gt;$P$41,0,COUNTIF($F$44:F115,$P$41))</f>
        <v>0</v>
      </c>
      <c r="Q115" s="287" t="b">
        <f t="shared" si="32"/>
        <v>0</v>
      </c>
      <c r="R115" s="287" t="b">
        <f t="shared" si="33"/>
        <v>0</v>
      </c>
      <c r="S115" s="288" t="b">
        <f t="shared" si="34"/>
        <v>1</v>
      </c>
      <c r="T115" s="187"/>
      <c r="U115" s="347">
        <f t="shared" si="35"/>
        <v>0</v>
      </c>
      <c r="V115" s="290">
        <f t="shared" si="36"/>
        <v>0</v>
      </c>
      <c r="W115" s="347">
        <f t="shared" si="30"/>
        <v>0</v>
      </c>
      <c r="X115" s="290">
        <f t="shared" si="30"/>
        <v>0</v>
      </c>
      <c r="Y115" s="290">
        <f t="shared" si="30"/>
        <v>0</v>
      </c>
      <c r="Z115" s="348">
        <f t="shared" si="30"/>
        <v>0</v>
      </c>
      <c r="AA115" s="349">
        <f t="shared" si="37"/>
        <v>0</v>
      </c>
    </row>
    <row r="116" spans="1:27" ht="15" customHeight="1">
      <c r="A116" s="343">
        <f t="shared" si="39"/>
        <v>73</v>
      </c>
      <c r="B116" s="280"/>
      <c r="C116" s="344"/>
      <c r="D116" s="710"/>
      <c r="E116" s="281"/>
      <c r="F116" s="344"/>
      <c r="G116" s="282"/>
      <c r="H116" s="345">
        <f>IFERROR(INDEX(【様式３】シフト表!$AK$7:$AK$106,MATCH($P116,【様式３】シフト表!$B$7:$B$106,0),1),0)</f>
        <v>0</v>
      </c>
      <c r="I116" s="111"/>
      <c r="J116" s="283"/>
      <c r="K116" s="284" t="str">
        <f t="shared" si="38"/>
        <v>-</v>
      </c>
      <c r="L116" s="136"/>
      <c r="M116" s="136"/>
      <c r="N116" s="285" t="b">
        <f t="shared" si="31"/>
        <v>0</v>
      </c>
      <c r="O116" s="346" t="b">
        <f>AND($O$41,C116=$O$42,N116,COUNTIF($O$43:$O115,TRUE)=0)</f>
        <v>0</v>
      </c>
      <c r="P116" s="287">
        <f>IF($F116&lt;&gt;$P$41,0,COUNTIF($F$44:F116,$P$41))</f>
        <v>0</v>
      </c>
      <c r="Q116" s="287" t="b">
        <f t="shared" si="32"/>
        <v>0</v>
      </c>
      <c r="R116" s="287" t="b">
        <f t="shared" si="33"/>
        <v>0</v>
      </c>
      <c r="S116" s="288" t="b">
        <f t="shared" si="34"/>
        <v>1</v>
      </c>
      <c r="T116" s="187"/>
      <c r="U116" s="347">
        <f t="shared" si="35"/>
        <v>0</v>
      </c>
      <c r="V116" s="290">
        <f t="shared" si="36"/>
        <v>0</v>
      </c>
      <c r="W116" s="347">
        <f t="shared" si="30"/>
        <v>0</v>
      </c>
      <c r="X116" s="290">
        <f t="shared" si="30"/>
        <v>0</v>
      </c>
      <c r="Y116" s="290">
        <f t="shared" si="30"/>
        <v>0</v>
      </c>
      <c r="Z116" s="348">
        <f t="shared" si="30"/>
        <v>0</v>
      </c>
      <c r="AA116" s="349">
        <f t="shared" si="37"/>
        <v>0</v>
      </c>
    </row>
    <row r="117" spans="1:27" ht="15" customHeight="1">
      <c r="A117" s="343">
        <f t="shared" si="39"/>
        <v>74</v>
      </c>
      <c r="B117" s="280"/>
      <c r="C117" s="344"/>
      <c r="D117" s="710"/>
      <c r="E117" s="281"/>
      <c r="F117" s="344"/>
      <c r="G117" s="282"/>
      <c r="H117" s="345">
        <f>IFERROR(INDEX(【様式３】シフト表!$AK$7:$AK$106,MATCH($P117,【様式３】シフト表!$B$7:$B$106,0),1),0)</f>
        <v>0</v>
      </c>
      <c r="I117" s="111"/>
      <c r="J117" s="283"/>
      <c r="K117" s="284" t="str">
        <f t="shared" si="38"/>
        <v>-</v>
      </c>
      <c r="L117" s="136"/>
      <c r="M117" s="136"/>
      <c r="N117" s="285" t="b">
        <f t="shared" si="31"/>
        <v>0</v>
      </c>
      <c r="O117" s="346" t="b">
        <f>AND($O$41,C117=$O$42,N117,COUNTIF($O$43:$O116,TRUE)=0)</f>
        <v>0</v>
      </c>
      <c r="P117" s="287">
        <f>IF($F117&lt;&gt;$P$41,0,COUNTIF($F$44:F117,$P$41))</f>
        <v>0</v>
      </c>
      <c r="Q117" s="287" t="b">
        <f t="shared" si="32"/>
        <v>0</v>
      </c>
      <c r="R117" s="287" t="b">
        <f t="shared" si="33"/>
        <v>0</v>
      </c>
      <c r="S117" s="288" t="b">
        <f t="shared" si="34"/>
        <v>1</v>
      </c>
      <c r="T117" s="187"/>
      <c r="U117" s="347">
        <f t="shared" si="35"/>
        <v>0</v>
      </c>
      <c r="V117" s="290">
        <f t="shared" si="36"/>
        <v>0</v>
      </c>
      <c r="W117" s="347">
        <f t="shared" si="30"/>
        <v>0</v>
      </c>
      <c r="X117" s="290">
        <f t="shared" si="30"/>
        <v>0</v>
      </c>
      <c r="Y117" s="290">
        <f t="shared" si="30"/>
        <v>0</v>
      </c>
      <c r="Z117" s="348">
        <f t="shared" si="30"/>
        <v>0</v>
      </c>
      <c r="AA117" s="349">
        <f t="shared" si="37"/>
        <v>0</v>
      </c>
    </row>
    <row r="118" spans="1:27" ht="15" customHeight="1">
      <c r="A118" s="343">
        <f t="shared" si="39"/>
        <v>75</v>
      </c>
      <c r="B118" s="280"/>
      <c r="C118" s="344"/>
      <c r="D118" s="710"/>
      <c r="E118" s="281"/>
      <c r="F118" s="344"/>
      <c r="G118" s="282"/>
      <c r="H118" s="345">
        <f>IFERROR(INDEX(【様式３】シフト表!$AK$7:$AK$106,MATCH($P118,【様式３】シフト表!$B$7:$B$106,0),1),0)</f>
        <v>0</v>
      </c>
      <c r="I118" s="111"/>
      <c r="J118" s="283"/>
      <c r="K118" s="284" t="str">
        <f t="shared" si="38"/>
        <v>-</v>
      </c>
      <c r="L118" s="136"/>
      <c r="M118" s="136"/>
      <c r="N118" s="285" t="b">
        <f t="shared" si="31"/>
        <v>0</v>
      </c>
      <c r="O118" s="346" t="b">
        <f>AND($O$41,C118=$O$42,N118,COUNTIF($O$43:$O117,TRUE)=0)</f>
        <v>0</v>
      </c>
      <c r="P118" s="287">
        <f>IF($F118&lt;&gt;$P$41,0,COUNTIF($F$44:F118,$P$41))</f>
        <v>0</v>
      </c>
      <c r="Q118" s="287" t="b">
        <f t="shared" si="32"/>
        <v>0</v>
      </c>
      <c r="R118" s="287" t="b">
        <f t="shared" si="33"/>
        <v>0</v>
      </c>
      <c r="S118" s="288" t="b">
        <f t="shared" si="34"/>
        <v>1</v>
      </c>
      <c r="T118" s="187"/>
      <c r="U118" s="347">
        <f t="shared" si="35"/>
        <v>0</v>
      </c>
      <c r="V118" s="290">
        <f t="shared" si="36"/>
        <v>0</v>
      </c>
      <c r="W118" s="347">
        <f t="shared" si="30"/>
        <v>0</v>
      </c>
      <c r="X118" s="290">
        <f t="shared" si="30"/>
        <v>0</v>
      </c>
      <c r="Y118" s="290">
        <f t="shared" si="30"/>
        <v>0</v>
      </c>
      <c r="Z118" s="348">
        <f t="shared" si="30"/>
        <v>0</v>
      </c>
      <c r="AA118" s="349">
        <f t="shared" si="37"/>
        <v>0</v>
      </c>
    </row>
    <row r="119" spans="1:27" ht="15" customHeight="1">
      <c r="A119" s="343">
        <f t="shared" si="39"/>
        <v>76</v>
      </c>
      <c r="B119" s="280"/>
      <c r="C119" s="344"/>
      <c r="D119" s="710"/>
      <c r="E119" s="281"/>
      <c r="F119" s="344"/>
      <c r="G119" s="282"/>
      <c r="H119" s="345">
        <f>IFERROR(INDEX(【様式３】シフト表!$AK$7:$AK$106,MATCH($P119,【様式３】シフト表!$B$7:$B$106,0),1),0)</f>
        <v>0</v>
      </c>
      <c r="I119" s="111"/>
      <c r="J119" s="283"/>
      <c r="K119" s="284" t="str">
        <f t="shared" si="38"/>
        <v>-</v>
      </c>
      <c r="L119" s="136"/>
      <c r="M119" s="136"/>
      <c r="N119" s="285" t="b">
        <f t="shared" si="31"/>
        <v>0</v>
      </c>
      <c r="O119" s="346" t="b">
        <f>AND($O$41,C119=$O$42,N119,COUNTIF($O$43:$O118,TRUE)=0)</f>
        <v>0</v>
      </c>
      <c r="P119" s="287">
        <f>IF($F119&lt;&gt;$P$41,0,COUNTIF($F$44:F119,$P$41))</f>
        <v>0</v>
      </c>
      <c r="Q119" s="287" t="b">
        <f t="shared" si="32"/>
        <v>0</v>
      </c>
      <c r="R119" s="287" t="b">
        <f t="shared" si="33"/>
        <v>0</v>
      </c>
      <c r="S119" s="288" t="b">
        <f t="shared" si="34"/>
        <v>1</v>
      </c>
      <c r="T119" s="187"/>
      <c r="U119" s="347">
        <f t="shared" si="35"/>
        <v>0</v>
      </c>
      <c r="V119" s="290">
        <f t="shared" si="36"/>
        <v>0</v>
      </c>
      <c r="W119" s="347">
        <f t="shared" si="30"/>
        <v>0</v>
      </c>
      <c r="X119" s="290">
        <f t="shared" si="30"/>
        <v>0</v>
      </c>
      <c r="Y119" s="290">
        <f t="shared" si="30"/>
        <v>0</v>
      </c>
      <c r="Z119" s="348">
        <f t="shared" si="30"/>
        <v>0</v>
      </c>
      <c r="AA119" s="349">
        <f t="shared" si="37"/>
        <v>0</v>
      </c>
    </row>
    <row r="120" spans="1:27" ht="15" customHeight="1">
      <c r="A120" s="343">
        <f t="shared" si="39"/>
        <v>77</v>
      </c>
      <c r="B120" s="280"/>
      <c r="C120" s="344"/>
      <c r="D120" s="710"/>
      <c r="E120" s="281"/>
      <c r="F120" s="344"/>
      <c r="G120" s="282"/>
      <c r="H120" s="345">
        <f>IFERROR(INDEX(【様式３】シフト表!$AK$7:$AK$106,MATCH($P120,【様式３】シフト表!$B$7:$B$106,0),1),0)</f>
        <v>0</v>
      </c>
      <c r="I120" s="111"/>
      <c r="J120" s="283"/>
      <c r="K120" s="284" t="str">
        <f t="shared" si="38"/>
        <v>-</v>
      </c>
      <c r="L120" s="136"/>
      <c r="M120" s="136"/>
      <c r="N120" s="285" t="b">
        <f t="shared" si="31"/>
        <v>0</v>
      </c>
      <c r="O120" s="346" t="b">
        <f>AND($O$41,C120=$O$42,N120,COUNTIF($O$43:$O119,TRUE)=0)</f>
        <v>0</v>
      </c>
      <c r="P120" s="287">
        <f>IF($F120&lt;&gt;$P$41,0,COUNTIF($F$44:F120,$P$41))</f>
        <v>0</v>
      </c>
      <c r="Q120" s="287" t="b">
        <f t="shared" si="32"/>
        <v>0</v>
      </c>
      <c r="R120" s="287" t="b">
        <f t="shared" si="33"/>
        <v>0</v>
      </c>
      <c r="S120" s="288" t="b">
        <f t="shared" si="34"/>
        <v>1</v>
      </c>
      <c r="T120" s="187"/>
      <c r="U120" s="347">
        <f t="shared" si="35"/>
        <v>0</v>
      </c>
      <c r="V120" s="290">
        <f t="shared" si="36"/>
        <v>0</v>
      </c>
      <c r="W120" s="347">
        <f t="shared" si="30"/>
        <v>0</v>
      </c>
      <c r="X120" s="290">
        <f t="shared" si="30"/>
        <v>0</v>
      </c>
      <c r="Y120" s="290">
        <f t="shared" si="30"/>
        <v>0</v>
      </c>
      <c r="Z120" s="348">
        <f t="shared" si="30"/>
        <v>0</v>
      </c>
      <c r="AA120" s="349">
        <f t="shared" si="37"/>
        <v>0</v>
      </c>
    </row>
    <row r="121" spans="1:27" ht="15" customHeight="1">
      <c r="A121" s="343">
        <f t="shared" si="39"/>
        <v>78</v>
      </c>
      <c r="B121" s="280"/>
      <c r="C121" s="344"/>
      <c r="D121" s="710"/>
      <c r="E121" s="281"/>
      <c r="F121" s="344"/>
      <c r="G121" s="282"/>
      <c r="H121" s="345">
        <f>IFERROR(INDEX(【様式３】シフト表!$AK$7:$AK$106,MATCH($P121,【様式３】シフト表!$B$7:$B$106,0),1),0)</f>
        <v>0</v>
      </c>
      <c r="I121" s="111"/>
      <c r="J121" s="283"/>
      <c r="K121" s="284" t="str">
        <f t="shared" si="38"/>
        <v>-</v>
      </c>
      <c r="L121" s="136"/>
      <c r="M121" s="136"/>
      <c r="N121" s="285" t="b">
        <f t="shared" si="31"/>
        <v>0</v>
      </c>
      <c r="O121" s="346" t="b">
        <f>AND($O$41,C121=$O$42,N121,COUNTIF($O$43:$O120,TRUE)=0)</f>
        <v>0</v>
      </c>
      <c r="P121" s="287">
        <f>IF($F121&lt;&gt;$P$41,0,COUNTIF($F$44:F121,$P$41))</f>
        <v>0</v>
      </c>
      <c r="Q121" s="287" t="b">
        <f t="shared" si="32"/>
        <v>0</v>
      </c>
      <c r="R121" s="287" t="b">
        <f t="shared" si="33"/>
        <v>0</v>
      </c>
      <c r="S121" s="288" t="b">
        <f t="shared" si="34"/>
        <v>1</v>
      </c>
      <c r="T121" s="187"/>
      <c r="U121" s="347">
        <f t="shared" si="35"/>
        <v>0</v>
      </c>
      <c r="V121" s="290">
        <f t="shared" si="36"/>
        <v>0</v>
      </c>
      <c r="W121" s="347">
        <f t="shared" si="30"/>
        <v>0</v>
      </c>
      <c r="X121" s="290">
        <f t="shared" si="30"/>
        <v>0</v>
      </c>
      <c r="Y121" s="290">
        <f t="shared" si="30"/>
        <v>0</v>
      </c>
      <c r="Z121" s="348">
        <f t="shared" si="30"/>
        <v>0</v>
      </c>
      <c r="AA121" s="349">
        <f t="shared" si="37"/>
        <v>0</v>
      </c>
    </row>
    <row r="122" spans="1:27" ht="15" customHeight="1">
      <c r="A122" s="343">
        <f t="shared" si="39"/>
        <v>79</v>
      </c>
      <c r="B122" s="280"/>
      <c r="C122" s="344"/>
      <c r="D122" s="710"/>
      <c r="E122" s="281"/>
      <c r="F122" s="344"/>
      <c r="G122" s="282"/>
      <c r="H122" s="345">
        <f>IFERROR(INDEX(【様式３】シフト表!$AK$7:$AK$106,MATCH($P122,【様式３】シフト表!$B$7:$B$106,0),1),0)</f>
        <v>0</v>
      </c>
      <c r="I122" s="111"/>
      <c r="J122" s="283"/>
      <c r="K122" s="284" t="str">
        <f t="shared" si="38"/>
        <v>-</v>
      </c>
      <c r="L122" s="136"/>
      <c r="M122" s="136"/>
      <c r="N122" s="285" t="b">
        <f t="shared" si="31"/>
        <v>0</v>
      </c>
      <c r="O122" s="346" t="b">
        <f>AND($O$41,C122=$O$42,N122,COUNTIF($O$43:$O121,TRUE)=0)</f>
        <v>0</v>
      </c>
      <c r="P122" s="287">
        <f>IF($F122&lt;&gt;$P$41,0,COUNTIF($F$44:F122,$P$41))</f>
        <v>0</v>
      </c>
      <c r="Q122" s="287" t="b">
        <f t="shared" si="32"/>
        <v>0</v>
      </c>
      <c r="R122" s="287" t="b">
        <f t="shared" si="33"/>
        <v>0</v>
      </c>
      <c r="S122" s="288" t="b">
        <f t="shared" si="34"/>
        <v>1</v>
      </c>
      <c r="T122" s="187"/>
      <c r="U122" s="347">
        <f t="shared" si="35"/>
        <v>0</v>
      </c>
      <c r="V122" s="290">
        <f t="shared" si="36"/>
        <v>0</v>
      </c>
      <c r="W122" s="347">
        <f t="shared" si="30"/>
        <v>0</v>
      </c>
      <c r="X122" s="290">
        <f t="shared" si="30"/>
        <v>0</v>
      </c>
      <c r="Y122" s="290">
        <f t="shared" si="30"/>
        <v>0</v>
      </c>
      <c r="Z122" s="348">
        <f t="shared" si="30"/>
        <v>0</v>
      </c>
      <c r="AA122" s="349">
        <f t="shared" si="37"/>
        <v>0</v>
      </c>
    </row>
    <row r="123" spans="1:27" ht="15" customHeight="1">
      <c r="A123" s="343">
        <f t="shared" si="39"/>
        <v>80</v>
      </c>
      <c r="B123" s="280"/>
      <c r="C123" s="344"/>
      <c r="D123" s="710"/>
      <c r="E123" s="281"/>
      <c r="F123" s="344"/>
      <c r="G123" s="282"/>
      <c r="H123" s="345">
        <f>IFERROR(INDEX(【様式３】シフト表!$AK$7:$AK$106,MATCH($P123,【様式３】シフト表!$B$7:$B$106,0),1),0)</f>
        <v>0</v>
      </c>
      <c r="I123" s="111"/>
      <c r="J123" s="283"/>
      <c r="K123" s="284" t="str">
        <f t="shared" si="38"/>
        <v>-</v>
      </c>
      <c r="L123" s="136"/>
      <c r="M123" s="136"/>
      <c r="N123" s="285" t="b">
        <f t="shared" si="31"/>
        <v>0</v>
      </c>
      <c r="O123" s="346" t="b">
        <f>AND($O$41,C123=$O$42,N123,COUNTIF($O$43:$O122,TRUE)=0)</f>
        <v>0</v>
      </c>
      <c r="P123" s="287">
        <f>IF($F123&lt;&gt;$P$41,0,COUNTIF($F$44:F123,$P$41))</f>
        <v>0</v>
      </c>
      <c r="Q123" s="287" t="b">
        <f t="shared" si="32"/>
        <v>0</v>
      </c>
      <c r="R123" s="287" t="b">
        <f t="shared" si="33"/>
        <v>0</v>
      </c>
      <c r="S123" s="288" t="b">
        <f t="shared" si="34"/>
        <v>1</v>
      </c>
      <c r="T123" s="187"/>
      <c r="U123" s="347">
        <f t="shared" si="35"/>
        <v>0</v>
      </c>
      <c r="V123" s="290">
        <f t="shared" si="36"/>
        <v>0</v>
      </c>
      <c r="W123" s="347">
        <f t="shared" si="30"/>
        <v>0</v>
      </c>
      <c r="X123" s="290">
        <f t="shared" si="30"/>
        <v>0</v>
      </c>
      <c r="Y123" s="290">
        <f t="shared" si="30"/>
        <v>0</v>
      </c>
      <c r="Z123" s="348">
        <f t="shared" si="30"/>
        <v>0</v>
      </c>
      <c r="AA123" s="349">
        <f t="shared" si="37"/>
        <v>0</v>
      </c>
    </row>
    <row r="124" spans="1:27" ht="15" customHeight="1">
      <c r="A124" s="343">
        <f t="shared" si="39"/>
        <v>81</v>
      </c>
      <c r="B124" s="280"/>
      <c r="C124" s="344"/>
      <c r="D124" s="710"/>
      <c r="E124" s="281"/>
      <c r="F124" s="344"/>
      <c r="G124" s="282"/>
      <c r="H124" s="345">
        <f>IFERROR(INDEX(【様式３】シフト表!$AK$7:$AK$106,MATCH($P124,【様式３】シフト表!$B$7:$B$106,0),1),0)</f>
        <v>0</v>
      </c>
      <c r="I124" s="111"/>
      <c r="J124" s="283"/>
      <c r="K124" s="284" t="str">
        <f t="shared" si="38"/>
        <v>-</v>
      </c>
      <c r="L124" s="136"/>
      <c r="M124" s="136"/>
      <c r="N124" s="285" t="b">
        <f t="shared" si="31"/>
        <v>0</v>
      </c>
      <c r="O124" s="346" t="b">
        <f>AND($O$41,C124=$O$42,N124,COUNTIF($O$43:$O123,TRUE)=0)</f>
        <v>0</v>
      </c>
      <c r="P124" s="287">
        <f>IF($F124&lt;&gt;$P$41,0,COUNTIF($F$44:F124,$P$41))</f>
        <v>0</v>
      </c>
      <c r="Q124" s="287" t="b">
        <f t="shared" si="32"/>
        <v>0</v>
      </c>
      <c r="R124" s="287" t="b">
        <f t="shared" si="33"/>
        <v>0</v>
      </c>
      <c r="S124" s="288" t="b">
        <f t="shared" si="34"/>
        <v>1</v>
      </c>
      <c r="T124" s="187"/>
      <c r="U124" s="347">
        <f t="shared" si="35"/>
        <v>0</v>
      </c>
      <c r="V124" s="290">
        <f t="shared" si="36"/>
        <v>0</v>
      </c>
      <c r="W124" s="347">
        <f t="shared" ref="W124:Z143" si="40">IF(AND($F124=W$40,$G124=W$41),$K124,0)</f>
        <v>0</v>
      </c>
      <c r="X124" s="290">
        <f t="shared" si="40"/>
        <v>0</v>
      </c>
      <c r="Y124" s="290">
        <f t="shared" si="40"/>
        <v>0</v>
      </c>
      <c r="Z124" s="348">
        <f t="shared" si="40"/>
        <v>0</v>
      </c>
      <c r="AA124" s="349">
        <f t="shared" si="37"/>
        <v>0</v>
      </c>
    </row>
    <row r="125" spans="1:27" ht="15" customHeight="1">
      <c r="A125" s="343">
        <f t="shared" si="39"/>
        <v>82</v>
      </c>
      <c r="B125" s="280"/>
      <c r="C125" s="344"/>
      <c r="D125" s="710"/>
      <c r="E125" s="281"/>
      <c r="F125" s="344"/>
      <c r="G125" s="282"/>
      <c r="H125" s="345">
        <f>IFERROR(INDEX(【様式３】シフト表!$AK$7:$AK$106,MATCH($P125,【様式３】シフト表!$B$7:$B$106,0),1),0)</f>
        <v>0</v>
      </c>
      <c r="I125" s="111"/>
      <c r="J125" s="283"/>
      <c r="K125" s="284" t="str">
        <f t="shared" si="38"/>
        <v>-</v>
      </c>
      <c r="L125" s="136"/>
      <c r="M125" s="136"/>
      <c r="N125" s="285" t="b">
        <f t="shared" si="31"/>
        <v>0</v>
      </c>
      <c r="O125" s="346" t="b">
        <f>AND($O$41,C125=$O$42,N125,COUNTIF($O$43:$O124,TRUE)=0)</f>
        <v>0</v>
      </c>
      <c r="P125" s="287">
        <f>IF($F125&lt;&gt;$P$41,0,COUNTIF($F$44:F125,$P$41))</f>
        <v>0</v>
      </c>
      <c r="Q125" s="287" t="b">
        <f t="shared" si="32"/>
        <v>0</v>
      </c>
      <c r="R125" s="287" t="b">
        <f t="shared" si="33"/>
        <v>0</v>
      </c>
      <c r="S125" s="288" t="b">
        <f t="shared" si="34"/>
        <v>1</v>
      </c>
      <c r="T125" s="187"/>
      <c r="U125" s="347">
        <f t="shared" si="35"/>
        <v>0</v>
      </c>
      <c r="V125" s="290">
        <f t="shared" si="36"/>
        <v>0</v>
      </c>
      <c r="W125" s="347">
        <f t="shared" si="40"/>
        <v>0</v>
      </c>
      <c r="X125" s="290">
        <f t="shared" si="40"/>
        <v>0</v>
      </c>
      <c r="Y125" s="290">
        <f t="shared" si="40"/>
        <v>0</v>
      </c>
      <c r="Z125" s="348">
        <f t="shared" si="40"/>
        <v>0</v>
      </c>
      <c r="AA125" s="349">
        <f t="shared" si="37"/>
        <v>0</v>
      </c>
    </row>
    <row r="126" spans="1:27" ht="15" customHeight="1">
      <c r="A126" s="343">
        <f t="shared" si="39"/>
        <v>83</v>
      </c>
      <c r="B126" s="280"/>
      <c r="C126" s="344"/>
      <c r="D126" s="710"/>
      <c r="E126" s="281"/>
      <c r="F126" s="344"/>
      <c r="G126" s="282"/>
      <c r="H126" s="345">
        <f>IFERROR(INDEX(【様式３】シフト表!$AK$7:$AK$106,MATCH($P126,【様式３】シフト表!$B$7:$B$106,0),1),0)</f>
        <v>0</v>
      </c>
      <c r="I126" s="111"/>
      <c r="J126" s="283"/>
      <c r="K126" s="284" t="str">
        <f t="shared" si="38"/>
        <v>-</v>
      </c>
      <c r="L126" s="136"/>
      <c r="M126" s="136"/>
      <c r="N126" s="285" t="b">
        <f t="shared" si="31"/>
        <v>0</v>
      </c>
      <c r="O126" s="346" t="b">
        <f>AND($O$41,C126=$O$42,N126,COUNTIF($O$43:$O125,TRUE)=0)</f>
        <v>0</v>
      </c>
      <c r="P126" s="287">
        <f>IF($F126&lt;&gt;$P$41,0,COUNTIF($F$44:F126,$P$41))</f>
        <v>0</v>
      </c>
      <c r="Q126" s="287" t="b">
        <f t="shared" si="32"/>
        <v>0</v>
      </c>
      <c r="R126" s="287" t="b">
        <f t="shared" si="33"/>
        <v>0</v>
      </c>
      <c r="S126" s="288" t="b">
        <f t="shared" si="34"/>
        <v>1</v>
      </c>
      <c r="T126" s="187"/>
      <c r="U126" s="347">
        <f t="shared" si="35"/>
        <v>0</v>
      </c>
      <c r="V126" s="290">
        <f t="shared" si="36"/>
        <v>0</v>
      </c>
      <c r="W126" s="347">
        <f t="shared" si="40"/>
        <v>0</v>
      </c>
      <c r="X126" s="290">
        <f t="shared" si="40"/>
        <v>0</v>
      </c>
      <c r="Y126" s="290">
        <f t="shared" si="40"/>
        <v>0</v>
      </c>
      <c r="Z126" s="348">
        <f t="shared" si="40"/>
        <v>0</v>
      </c>
      <c r="AA126" s="349">
        <f t="shared" si="37"/>
        <v>0</v>
      </c>
    </row>
    <row r="127" spans="1:27" ht="15" customHeight="1">
      <c r="A127" s="343">
        <f t="shared" si="39"/>
        <v>84</v>
      </c>
      <c r="B127" s="280"/>
      <c r="C127" s="344"/>
      <c r="D127" s="710"/>
      <c r="E127" s="281"/>
      <c r="F127" s="344"/>
      <c r="G127" s="282"/>
      <c r="H127" s="345">
        <f>IFERROR(INDEX(【様式３】シフト表!$AK$7:$AK$106,MATCH($P127,【様式３】シフト表!$B$7:$B$106,0),1),0)</f>
        <v>0</v>
      </c>
      <c r="I127" s="111"/>
      <c r="J127" s="283"/>
      <c r="K127" s="284" t="str">
        <f t="shared" si="38"/>
        <v>-</v>
      </c>
      <c r="L127" s="136"/>
      <c r="M127" s="136"/>
      <c r="N127" s="285" t="b">
        <f t="shared" si="31"/>
        <v>0</v>
      </c>
      <c r="O127" s="346" t="b">
        <f>AND($O$41,C127=$O$42,N127,COUNTIF($O$43:$O126,TRUE)=0)</f>
        <v>0</v>
      </c>
      <c r="P127" s="287">
        <f>IF($F127&lt;&gt;$P$41,0,COUNTIF($F$44:F127,$P$41))</f>
        <v>0</v>
      </c>
      <c r="Q127" s="287" t="b">
        <f t="shared" si="32"/>
        <v>0</v>
      </c>
      <c r="R127" s="287" t="b">
        <f t="shared" si="33"/>
        <v>0</v>
      </c>
      <c r="S127" s="288" t="b">
        <f t="shared" si="34"/>
        <v>1</v>
      </c>
      <c r="T127" s="187"/>
      <c r="U127" s="347">
        <f t="shared" si="35"/>
        <v>0</v>
      </c>
      <c r="V127" s="290">
        <f t="shared" si="36"/>
        <v>0</v>
      </c>
      <c r="W127" s="347">
        <f t="shared" si="40"/>
        <v>0</v>
      </c>
      <c r="X127" s="290">
        <f t="shared" si="40"/>
        <v>0</v>
      </c>
      <c r="Y127" s="290">
        <f t="shared" si="40"/>
        <v>0</v>
      </c>
      <c r="Z127" s="348">
        <f t="shared" si="40"/>
        <v>0</v>
      </c>
      <c r="AA127" s="349">
        <f t="shared" si="37"/>
        <v>0</v>
      </c>
    </row>
    <row r="128" spans="1:27" ht="15" customHeight="1">
      <c r="A128" s="343">
        <f t="shared" si="39"/>
        <v>85</v>
      </c>
      <c r="B128" s="280"/>
      <c r="C128" s="344"/>
      <c r="D128" s="710"/>
      <c r="E128" s="281"/>
      <c r="F128" s="344"/>
      <c r="G128" s="282"/>
      <c r="H128" s="345">
        <f>IFERROR(INDEX(【様式３】シフト表!$AK$7:$AK$106,MATCH($P128,【様式３】シフト表!$B$7:$B$106,0),1),0)</f>
        <v>0</v>
      </c>
      <c r="I128" s="111"/>
      <c r="J128" s="283"/>
      <c r="K128" s="284" t="str">
        <f t="shared" si="38"/>
        <v>-</v>
      </c>
      <c r="L128" s="136"/>
      <c r="M128" s="136"/>
      <c r="N128" s="285" t="b">
        <f t="shared" si="31"/>
        <v>0</v>
      </c>
      <c r="O128" s="346" t="b">
        <f>AND($O$41,C128=$O$42,N128,COUNTIF($O$43:$O127,TRUE)=0)</f>
        <v>0</v>
      </c>
      <c r="P128" s="287">
        <f>IF($F128&lt;&gt;$P$41,0,COUNTIF($F$44:F128,$P$41))</f>
        <v>0</v>
      </c>
      <c r="Q128" s="287" t="b">
        <f t="shared" si="32"/>
        <v>0</v>
      </c>
      <c r="R128" s="287" t="b">
        <f t="shared" si="33"/>
        <v>0</v>
      </c>
      <c r="S128" s="288" t="b">
        <f t="shared" si="34"/>
        <v>1</v>
      </c>
      <c r="T128" s="187"/>
      <c r="U128" s="347">
        <f t="shared" si="35"/>
        <v>0</v>
      </c>
      <c r="V128" s="290">
        <f t="shared" si="36"/>
        <v>0</v>
      </c>
      <c r="W128" s="347">
        <f t="shared" si="40"/>
        <v>0</v>
      </c>
      <c r="X128" s="290">
        <f t="shared" si="40"/>
        <v>0</v>
      </c>
      <c r="Y128" s="290">
        <f t="shared" si="40"/>
        <v>0</v>
      </c>
      <c r="Z128" s="348">
        <f t="shared" si="40"/>
        <v>0</v>
      </c>
      <c r="AA128" s="349">
        <f t="shared" si="37"/>
        <v>0</v>
      </c>
    </row>
    <row r="129" spans="1:27" ht="15" customHeight="1">
      <c r="A129" s="343">
        <f t="shared" si="39"/>
        <v>86</v>
      </c>
      <c r="B129" s="280"/>
      <c r="C129" s="344"/>
      <c r="D129" s="710"/>
      <c r="E129" s="281"/>
      <c r="F129" s="344"/>
      <c r="G129" s="282"/>
      <c r="H129" s="345">
        <f>IFERROR(INDEX(【様式３】シフト表!$AK$7:$AK$106,MATCH($P129,【様式３】シフト表!$B$7:$B$106,0),1),0)</f>
        <v>0</v>
      </c>
      <c r="I129" s="111"/>
      <c r="J129" s="283"/>
      <c r="K129" s="284" t="str">
        <f t="shared" si="38"/>
        <v>-</v>
      </c>
      <c r="L129" s="136"/>
      <c r="M129" s="136"/>
      <c r="N129" s="285" t="b">
        <f t="shared" si="31"/>
        <v>0</v>
      </c>
      <c r="O129" s="346" t="b">
        <f>AND($O$41,C129=$O$42,N129,COUNTIF($O$43:$O128,TRUE)=0)</f>
        <v>0</v>
      </c>
      <c r="P129" s="287">
        <f>IF($F129&lt;&gt;$P$41,0,COUNTIF($F$44:F129,$P$41))</f>
        <v>0</v>
      </c>
      <c r="Q129" s="287" t="b">
        <f t="shared" si="32"/>
        <v>0</v>
      </c>
      <c r="R129" s="287" t="b">
        <f t="shared" si="33"/>
        <v>0</v>
      </c>
      <c r="S129" s="288" t="b">
        <f t="shared" si="34"/>
        <v>1</v>
      </c>
      <c r="T129" s="187"/>
      <c r="U129" s="347">
        <f t="shared" si="35"/>
        <v>0</v>
      </c>
      <c r="V129" s="290">
        <f t="shared" si="36"/>
        <v>0</v>
      </c>
      <c r="W129" s="347">
        <f t="shared" si="40"/>
        <v>0</v>
      </c>
      <c r="X129" s="290">
        <f t="shared" si="40"/>
        <v>0</v>
      </c>
      <c r="Y129" s="290">
        <f t="shared" si="40"/>
        <v>0</v>
      </c>
      <c r="Z129" s="348">
        <f t="shared" si="40"/>
        <v>0</v>
      </c>
      <c r="AA129" s="349">
        <f t="shared" si="37"/>
        <v>0</v>
      </c>
    </row>
    <row r="130" spans="1:27" ht="15" customHeight="1">
      <c r="A130" s="343">
        <f t="shared" si="39"/>
        <v>87</v>
      </c>
      <c r="B130" s="280"/>
      <c r="C130" s="344"/>
      <c r="D130" s="710"/>
      <c r="E130" s="281"/>
      <c r="F130" s="344"/>
      <c r="G130" s="282"/>
      <c r="H130" s="345">
        <f>IFERROR(INDEX(【様式３】シフト表!$AK$7:$AK$106,MATCH($P130,【様式３】シフト表!$B$7:$B$106,0),1),0)</f>
        <v>0</v>
      </c>
      <c r="I130" s="111"/>
      <c r="J130" s="283"/>
      <c r="K130" s="284" t="str">
        <f t="shared" si="38"/>
        <v>-</v>
      </c>
      <c r="L130" s="136"/>
      <c r="M130" s="136"/>
      <c r="N130" s="285" t="b">
        <f t="shared" si="31"/>
        <v>0</v>
      </c>
      <c r="O130" s="346" t="b">
        <f>AND($O$41,C130=$O$42,N130,COUNTIF($O$43:$O129,TRUE)=0)</f>
        <v>0</v>
      </c>
      <c r="P130" s="287">
        <f>IF($F130&lt;&gt;$P$41,0,COUNTIF($F$44:F130,$P$41))</f>
        <v>0</v>
      </c>
      <c r="Q130" s="287" t="b">
        <f t="shared" si="32"/>
        <v>0</v>
      </c>
      <c r="R130" s="287" t="b">
        <f t="shared" si="33"/>
        <v>0</v>
      </c>
      <c r="S130" s="288" t="b">
        <f t="shared" si="34"/>
        <v>1</v>
      </c>
      <c r="T130" s="187"/>
      <c r="U130" s="347">
        <f t="shared" si="35"/>
        <v>0</v>
      </c>
      <c r="V130" s="290">
        <f t="shared" si="36"/>
        <v>0</v>
      </c>
      <c r="W130" s="347">
        <f t="shared" si="40"/>
        <v>0</v>
      </c>
      <c r="X130" s="290">
        <f t="shared" si="40"/>
        <v>0</v>
      </c>
      <c r="Y130" s="290">
        <f t="shared" si="40"/>
        <v>0</v>
      </c>
      <c r="Z130" s="348">
        <f t="shared" si="40"/>
        <v>0</v>
      </c>
      <c r="AA130" s="349">
        <f t="shared" si="37"/>
        <v>0</v>
      </c>
    </row>
    <row r="131" spans="1:27" ht="15" customHeight="1">
      <c r="A131" s="343">
        <f t="shared" si="39"/>
        <v>88</v>
      </c>
      <c r="B131" s="280"/>
      <c r="C131" s="344"/>
      <c r="D131" s="710"/>
      <c r="E131" s="281"/>
      <c r="F131" s="344"/>
      <c r="G131" s="282"/>
      <c r="H131" s="345">
        <f>IFERROR(INDEX(【様式３】シフト表!$AK$7:$AK$106,MATCH($P131,【様式３】シフト表!$B$7:$B$106,0),1),0)</f>
        <v>0</v>
      </c>
      <c r="I131" s="111"/>
      <c r="J131" s="283"/>
      <c r="K131" s="284" t="str">
        <f t="shared" si="38"/>
        <v>-</v>
      </c>
      <c r="L131" s="136"/>
      <c r="M131" s="136"/>
      <c r="N131" s="285" t="b">
        <f t="shared" si="31"/>
        <v>0</v>
      </c>
      <c r="O131" s="346" t="b">
        <f>AND($O$41,C131=$O$42,N131,COUNTIF($O$43:$O130,TRUE)=0)</f>
        <v>0</v>
      </c>
      <c r="P131" s="287">
        <f>IF($F131&lt;&gt;$P$41,0,COUNTIF($F$44:F131,$P$41))</f>
        <v>0</v>
      </c>
      <c r="Q131" s="287" t="b">
        <f t="shared" si="32"/>
        <v>0</v>
      </c>
      <c r="R131" s="287" t="b">
        <f t="shared" si="33"/>
        <v>0</v>
      </c>
      <c r="S131" s="288" t="b">
        <f t="shared" si="34"/>
        <v>1</v>
      </c>
      <c r="T131" s="187"/>
      <c r="U131" s="347">
        <f t="shared" si="35"/>
        <v>0</v>
      </c>
      <c r="V131" s="290">
        <f t="shared" si="36"/>
        <v>0</v>
      </c>
      <c r="W131" s="347">
        <f t="shared" si="40"/>
        <v>0</v>
      </c>
      <c r="X131" s="290">
        <f t="shared" si="40"/>
        <v>0</v>
      </c>
      <c r="Y131" s="290">
        <f t="shared" si="40"/>
        <v>0</v>
      </c>
      <c r="Z131" s="348">
        <f t="shared" si="40"/>
        <v>0</v>
      </c>
      <c r="AA131" s="349">
        <f t="shared" si="37"/>
        <v>0</v>
      </c>
    </row>
    <row r="132" spans="1:27" ht="15" customHeight="1">
      <c r="A132" s="343">
        <f t="shared" si="39"/>
        <v>89</v>
      </c>
      <c r="B132" s="280"/>
      <c r="C132" s="344"/>
      <c r="D132" s="710"/>
      <c r="E132" s="281"/>
      <c r="F132" s="344"/>
      <c r="G132" s="282"/>
      <c r="H132" s="345">
        <f>IFERROR(INDEX(【様式３】シフト表!$AK$7:$AK$106,MATCH($P132,【様式３】シフト表!$B$7:$B$106,0),1),0)</f>
        <v>0</v>
      </c>
      <c r="I132" s="111"/>
      <c r="J132" s="283"/>
      <c r="K132" s="284" t="str">
        <f t="shared" si="38"/>
        <v>-</v>
      </c>
      <c r="L132" s="136"/>
      <c r="M132" s="136"/>
      <c r="N132" s="285" t="b">
        <f t="shared" si="31"/>
        <v>0</v>
      </c>
      <c r="O132" s="346" t="b">
        <f>AND($O$41,C132=$O$42,N132,COUNTIF($O$43:$O131,TRUE)=0)</f>
        <v>0</v>
      </c>
      <c r="P132" s="287">
        <f>IF($F132&lt;&gt;$P$41,0,COUNTIF($F$44:F132,$P$41))</f>
        <v>0</v>
      </c>
      <c r="Q132" s="287" t="b">
        <f t="shared" si="32"/>
        <v>0</v>
      </c>
      <c r="R132" s="287" t="b">
        <f t="shared" si="33"/>
        <v>0</v>
      </c>
      <c r="S132" s="288" t="b">
        <f t="shared" si="34"/>
        <v>1</v>
      </c>
      <c r="T132" s="187"/>
      <c r="U132" s="347">
        <f t="shared" si="35"/>
        <v>0</v>
      </c>
      <c r="V132" s="290">
        <f t="shared" si="36"/>
        <v>0</v>
      </c>
      <c r="W132" s="347">
        <f t="shared" si="40"/>
        <v>0</v>
      </c>
      <c r="X132" s="290">
        <f t="shared" si="40"/>
        <v>0</v>
      </c>
      <c r="Y132" s="290">
        <f t="shared" si="40"/>
        <v>0</v>
      </c>
      <c r="Z132" s="348">
        <f t="shared" si="40"/>
        <v>0</v>
      </c>
      <c r="AA132" s="349">
        <f t="shared" si="37"/>
        <v>0</v>
      </c>
    </row>
    <row r="133" spans="1:27" ht="15" customHeight="1">
      <c r="A133" s="343">
        <f t="shared" si="39"/>
        <v>90</v>
      </c>
      <c r="B133" s="280"/>
      <c r="C133" s="344"/>
      <c r="D133" s="710"/>
      <c r="E133" s="281"/>
      <c r="F133" s="344"/>
      <c r="G133" s="282"/>
      <c r="H133" s="345">
        <f>IFERROR(INDEX(【様式３】シフト表!$AK$7:$AK$106,MATCH($P133,【様式３】シフト表!$B$7:$B$106,0),1),0)</f>
        <v>0</v>
      </c>
      <c r="I133" s="111"/>
      <c r="J133" s="283"/>
      <c r="K133" s="284" t="str">
        <f t="shared" si="38"/>
        <v>-</v>
      </c>
      <c r="L133" s="136"/>
      <c r="M133" s="136"/>
      <c r="N133" s="285" t="b">
        <f t="shared" si="31"/>
        <v>0</v>
      </c>
      <c r="O133" s="346" t="b">
        <f>AND($O$41,C133=$O$42,N133,COUNTIF($O$43:$O132,TRUE)=0)</f>
        <v>0</v>
      </c>
      <c r="P133" s="287">
        <f>IF($F133&lt;&gt;$P$41,0,COUNTIF($F$44:F133,$P$41))</f>
        <v>0</v>
      </c>
      <c r="Q133" s="287" t="b">
        <f t="shared" si="32"/>
        <v>0</v>
      </c>
      <c r="R133" s="287" t="b">
        <f t="shared" si="33"/>
        <v>0</v>
      </c>
      <c r="S133" s="288" t="b">
        <f t="shared" si="34"/>
        <v>1</v>
      </c>
      <c r="T133" s="187"/>
      <c r="U133" s="347">
        <f t="shared" si="35"/>
        <v>0</v>
      </c>
      <c r="V133" s="290">
        <f t="shared" si="36"/>
        <v>0</v>
      </c>
      <c r="W133" s="347">
        <f t="shared" si="40"/>
        <v>0</v>
      </c>
      <c r="X133" s="290">
        <f t="shared" si="40"/>
        <v>0</v>
      </c>
      <c r="Y133" s="290">
        <f t="shared" si="40"/>
        <v>0</v>
      </c>
      <c r="Z133" s="348">
        <f t="shared" si="40"/>
        <v>0</v>
      </c>
      <c r="AA133" s="349">
        <f t="shared" si="37"/>
        <v>0</v>
      </c>
    </row>
    <row r="134" spans="1:27" ht="15" customHeight="1">
      <c r="A134" s="343">
        <f t="shared" si="39"/>
        <v>91</v>
      </c>
      <c r="B134" s="280"/>
      <c r="C134" s="344"/>
      <c r="D134" s="710"/>
      <c r="E134" s="281"/>
      <c r="F134" s="344"/>
      <c r="G134" s="282"/>
      <c r="H134" s="345">
        <f>IFERROR(INDEX(【様式３】シフト表!$AK$7:$AK$106,MATCH($P134,【様式３】シフト表!$B$7:$B$106,0),1),0)</f>
        <v>0</v>
      </c>
      <c r="I134" s="111"/>
      <c r="J134" s="283"/>
      <c r="K134" s="284" t="str">
        <f t="shared" si="38"/>
        <v>-</v>
      </c>
      <c r="L134" s="136"/>
      <c r="M134" s="136"/>
      <c r="N134" s="285" t="b">
        <f t="shared" si="31"/>
        <v>0</v>
      </c>
      <c r="O134" s="346" t="b">
        <f>AND($O$41,C134=$O$42,N134,COUNTIF($O$43:$O133,TRUE)=0)</f>
        <v>0</v>
      </c>
      <c r="P134" s="287">
        <f>IF($F134&lt;&gt;$P$41,0,COUNTIF($F$44:F134,$P$41))</f>
        <v>0</v>
      </c>
      <c r="Q134" s="287" t="b">
        <f t="shared" si="32"/>
        <v>0</v>
      </c>
      <c r="R134" s="287" t="b">
        <f t="shared" si="33"/>
        <v>0</v>
      </c>
      <c r="S134" s="288" t="b">
        <f t="shared" si="34"/>
        <v>1</v>
      </c>
      <c r="T134" s="187"/>
      <c r="U134" s="347">
        <f t="shared" si="35"/>
        <v>0</v>
      </c>
      <c r="V134" s="290">
        <f t="shared" si="36"/>
        <v>0</v>
      </c>
      <c r="W134" s="347">
        <f t="shared" si="40"/>
        <v>0</v>
      </c>
      <c r="X134" s="290">
        <f t="shared" si="40"/>
        <v>0</v>
      </c>
      <c r="Y134" s="290">
        <f t="shared" si="40"/>
        <v>0</v>
      </c>
      <c r="Z134" s="348">
        <f t="shared" si="40"/>
        <v>0</v>
      </c>
      <c r="AA134" s="349">
        <f t="shared" si="37"/>
        <v>0</v>
      </c>
    </row>
    <row r="135" spans="1:27" ht="15" customHeight="1">
      <c r="A135" s="343">
        <f t="shared" si="39"/>
        <v>92</v>
      </c>
      <c r="B135" s="280"/>
      <c r="C135" s="344"/>
      <c r="D135" s="710"/>
      <c r="E135" s="281"/>
      <c r="F135" s="344"/>
      <c r="G135" s="282"/>
      <c r="H135" s="345">
        <f>IFERROR(INDEX(【様式３】シフト表!$AK$7:$AK$106,MATCH($P135,【様式３】シフト表!$B$7:$B$106,0),1),0)</f>
        <v>0</v>
      </c>
      <c r="I135" s="111"/>
      <c r="J135" s="283"/>
      <c r="K135" s="284" t="str">
        <f t="shared" si="38"/>
        <v>-</v>
      </c>
      <c r="L135" s="136"/>
      <c r="M135" s="136"/>
      <c r="N135" s="285" t="b">
        <f t="shared" si="31"/>
        <v>0</v>
      </c>
      <c r="O135" s="346" t="b">
        <f>AND($O$41,C135=$O$42,N135,COUNTIF($O$43:$O134,TRUE)=0)</f>
        <v>0</v>
      </c>
      <c r="P135" s="287">
        <f>IF($F135&lt;&gt;$P$41,0,COUNTIF($F$44:F135,$P$41))</f>
        <v>0</v>
      </c>
      <c r="Q135" s="287" t="b">
        <f t="shared" si="32"/>
        <v>0</v>
      </c>
      <c r="R135" s="287" t="b">
        <f t="shared" si="33"/>
        <v>0</v>
      </c>
      <c r="S135" s="288" t="b">
        <f t="shared" si="34"/>
        <v>1</v>
      </c>
      <c r="T135" s="187"/>
      <c r="U135" s="347">
        <f t="shared" si="35"/>
        <v>0</v>
      </c>
      <c r="V135" s="290">
        <f t="shared" si="36"/>
        <v>0</v>
      </c>
      <c r="W135" s="347">
        <f t="shared" si="40"/>
        <v>0</v>
      </c>
      <c r="X135" s="290">
        <f t="shared" si="40"/>
        <v>0</v>
      </c>
      <c r="Y135" s="290">
        <f t="shared" si="40"/>
        <v>0</v>
      </c>
      <c r="Z135" s="348">
        <f t="shared" si="40"/>
        <v>0</v>
      </c>
      <c r="AA135" s="349">
        <f t="shared" si="37"/>
        <v>0</v>
      </c>
    </row>
    <row r="136" spans="1:27" ht="15" customHeight="1">
      <c r="A136" s="343">
        <f t="shared" si="39"/>
        <v>93</v>
      </c>
      <c r="B136" s="280"/>
      <c r="C136" s="344"/>
      <c r="D136" s="710"/>
      <c r="E136" s="281"/>
      <c r="F136" s="344"/>
      <c r="G136" s="282"/>
      <c r="H136" s="345">
        <f>IFERROR(INDEX(【様式３】シフト表!$AK$7:$AK$106,MATCH($P136,【様式３】シフト表!$B$7:$B$106,0),1),0)</f>
        <v>0</v>
      </c>
      <c r="I136" s="111"/>
      <c r="J136" s="283"/>
      <c r="K136" s="284" t="str">
        <f t="shared" si="38"/>
        <v>-</v>
      </c>
      <c r="L136" s="136"/>
      <c r="M136" s="136"/>
      <c r="N136" s="285" t="b">
        <f t="shared" si="31"/>
        <v>0</v>
      </c>
      <c r="O136" s="346" t="b">
        <f>AND($O$41,C136=$O$42,N136,COUNTIF($O$43:$O135,TRUE)=0)</f>
        <v>0</v>
      </c>
      <c r="P136" s="287">
        <f>IF($F136&lt;&gt;$P$41,0,COUNTIF($F$44:F136,$P$41))</f>
        <v>0</v>
      </c>
      <c r="Q136" s="287" t="b">
        <f t="shared" si="32"/>
        <v>0</v>
      </c>
      <c r="R136" s="287" t="b">
        <f t="shared" si="33"/>
        <v>0</v>
      </c>
      <c r="S136" s="288" t="b">
        <f t="shared" si="34"/>
        <v>1</v>
      </c>
      <c r="T136" s="187"/>
      <c r="U136" s="347">
        <f t="shared" si="35"/>
        <v>0</v>
      </c>
      <c r="V136" s="290">
        <f t="shared" si="36"/>
        <v>0</v>
      </c>
      <c r="W136" s="347">
        <f t="shared" si="40"/>
        <v>0</v>
      </c>
      <c r="X136" s="290">
        <f t="shared" si="40"/>
        <v>0</v>
      </c>
      <c r="Y136" s="290">
        <f t="shared" si="40"/>
        <v>0</v>
      </c>
      <c r="Z136" s="348">
        <f t="shared" si="40"/>
        <v>0</v>
      </c>
      <c r="AA136" s="349">
        <f t="shared" si="37"/>
        <v>0</v>
      </c>
    </row>
    <row r="137" spans="1:27" ht="15" customHeight="1">
      <c r="A137" s="343">
        <f t="shared" si="39"/>
        <v>94</v>
      </c>
      <c r="B137" s="280"/>
      <c r="C137" s="344"/>
      <c r="D137" s="710"/>
      <c r="E137" s="281"/>
      <c r="F137" s="344"/>
      <c r="G137" s="282"/>
      <c r="H137" s="345">
        <f>IFERROR(INDEX(【様式３】シフト表!$AK$7:$AK$106,MATCH($P137,【様式３】シフト表!$B$7:$B$106,0),1),0)</f>
        <v>0</v>
      </c>
      <c r="I137" s="111"/>
      <c r="J137" s="283"/>
      <c r="K137" s="284" t="str">
        <f t="shared" si="38"/>
        <v>-</v>
      </c>
      <c r="L137" s="136"/>
      <c r="M137" s="136"/>
      <c r="N137" s="285" t="b">
        <f t="shared" si="31"/>
        <v>0</v>
      </c>
      <c r="O137" s="346" t="b">
        <f>AND($O$41,C137=$O$42,N137,COUNTIF($O$43:$O136,TRUE)=0)</f>
        <v>0</v>
      </c>
      <c r="P137" s="287">
        <f>IF($F137&lt;&gt;$P$41,0,COUNTIF($F$44:F137,$P$41))</f>
        <v>0</v>
      </c>
      <c r="Q137" s="287" t="b">
        <f t="shared" si="32"/>
        <v>0</v>
      </c>
      <c r="R137" s="287" t="b">
        <f t="shared" si="33"/>
        <v>0</v>
      </c>
      <c r="S137" s="288" t="b">
        <f t="shared" si="34"/>
        <v>1</v>
      </c>
      <c r="T137" s="187"/>
      <c r="U137" s="347">
        <f t="shared" si="35"/>
        <v>0</v>
      </c>
      <c r="V137" s="290">
        <f t="shared" si="36"/>
        <v>0</v>
      </c>
      <c r="W137" s="347">
        <f t="shared" si="40"/>
        <v>0</v>
      </c>
      <c r="X137" s="290">
        <f t="shared" si="40"/>
        <v>0</v>
      </c>
      <c r="Y137" s="290">
        <f t="shared" si="40"/>
        <v>0</v>
      </c>
      <c r="Z137" s="348">
        <f t="shared" si="40"/>
        <v>0</v>
      </c>
      <c r="AA137" s="349">
        <f t="shared" si="37"/>
        <v>0</v>
      </c>
    </row>
    <row r="138" spans="1:27" ht="15" customHeight="1">
      <c r="A138" s="343">
        <f t="shared" si="39"/>
        <v>95</v>
      </c>
      <c r="B138" s="280"/>
      <c r="C138" s="344"/>
      <c r="D138" s="710"/>
      <c r="E138" s="281"/>
      <c r="F138" s="344"/>
      <c r="G138" s="282"/>
      <c r="H138" s="345">
        <f>IFERROR(INDEX(【様式３】シフト表!$AK$7:$AK$106,MATCH($P138,【様式３】シフト表!$B$7:$B$106,0),1),0)</f>
        <v>0</v>
      </c>
      <c r="I138" s="111"/>
      <c r="J138" s="283"/>
      <c r="K138" s="284" t="str">
        <f t="shared" si="38"/>
        <v>-</v>
      </c>
      <c r="L138" s="136"/>
      <c r="M138" s="136"/>
      <c r="N138" s="285" t="b">
        <f t="shared" si="31"/>
        <v>0</v>
      </c>
      <c r="O138" s="346" t="b">
        <f>AND($O$41,C138=$O$42,N138,COUNTIF($O$43:$O137,TRUE)=0)</f>
        <v>0</v>
      </c>
      <c r="P138" s="287">
        <f>IF($F138&lt;&gt;$P$41,0,COUNTIF($F$44:F138,$P$41))</f>
        <v>0</v>
      </c>
      <c r="Q138" s="287" t="b">
        <f t="shared" si="32"/>
        <v>0</v>
      </c>
      <c r="R138" s="287" t="b">
        <f t="shared" si="33"/>
        <v>0</v>
      </c>
      <c r="S138" s="288" t="b">
        <f t="shared" si="34"/>
        <v>1</v>
      </c>
      <c r="T138" s="187"/>
      <c r="U138" s="347">
        <f t="shared" si="35"/>
        <v>0</v>
      </c>
      <c r="V138" s="290">
        <f t="shared" si="36"/>
        <v>0</v>
      </c>
      <c r="W138" s="347">
        <f t="shared" si="40"/>
        <v>0</v>
      </c>
      <c r="X138" s="290">
        <f t="shared" si="40"/>
        <v>0</v>
      </c>
      <c r="Y138" s="290">
        <f t="shared" si="40"/>
        <v>0</v>
      </c>
      <c r="Z138" s="348">
        <f t="shared" si="40"/>
        <v>0</v>
      </c>
      <c r="AA138" s="349">
        <f t="shared" si="37"/>
        <v>0</v>
      </c>
    </row>
    <row r="139" spans="1:27" ht="15" customHeight="1">
      <c r="A139" s="343">
        <f t="shared" si="39"/>
        <v>96</v>
      </c>
      <c r="B139" s="280"/>
      <c r="C139" s="344"/>
      <c r="D139" s="710"/>
      <c r="E139" s="281"/>
      <c r="F139" s="344"/>
      <c r="G139" s="282"/>
      <c r="H139" s="345">
        <f>IFERROR(INDEX(【様式３】シフト表!$AK$7:$AK$106,MATCH($P139,【様式３】シフト表!$B$7:$B$106,0),1),0)</f>
        <v>0</v>
      </c>
      <c r="I139" s="111"/>
      <c r="J139" s="283"/>
      <c r="K139" s="284" t="str">
        <f t="shared" si="38"/>
        <v>-</v>
      </c>
      <c r="L139" s="136"/>
      <c r="M139" s="136"/>
      <c r="N139" s="285" t="b">
        <f t="shared" si="31"/>
        <v>0</v>
      </c>
      <c r="O139" s="346" t="b">
        <f>AND($O$41,C139=$O$42,N139,COUNTIF($O$43:$O138,TRUE)=0)</f>
        <v>0</v>
      </c>
      <c r="P139" s="287">
        <f>IF($F139&lt;&gt;$P$41,0,COUNTIF($F$44:F139,$P$41))</f>
        <v>0</v>
      </c>
      <c r="Q139" s="287" t="b">
        <f t="shared" si="32"/>
        <v>0</v>
      </c>
      <c r="R139" s="287" t="b">
        <f t="shared" si="33"/>
        <v>0</v>
      </c>
      <c r="S139" s="288" t="b">
        <f t="shared" si="34"/>
        <v>1</v>
      </c>
      <c r="T139" s="187"/>
      <c r="U139" s="347">
        <f t="shared" si="35"/>
        <v>0</v>
      </c>
      <c r="V139" s="290">
        <f t="shared" si="36"/>
        <v>0</v>
      </c>
      <c r="W139" s="347">
        <f t="shared" si="40"/>
        <v>0</v>
      </c>
      <c r="X139" s="290">
        <f t="shared" si="40"/>
        <v>0</v>
      </c>
      <c r="Y139" s="290">
        <f t="shared" si="40"/>
        <v>0</v>
      </c>
      <c r="Z139" s="348">
        <f t="shared" si="40"/>
        <v>0</v>
      </c>
      <c r="AA139" s="349">
        <f t="shared" si="37"/>
        <v>0</v>
      </c>
    </row>
    <row r="140" spans="1:27" ht="15" customHeight="1">
      <c r="A140" s="343">
        <f t="shared" si="39"/>
        <v>97</v>
      </c>
      <c r="B140" s="280"/>
      <c r="C140" s="344"/>
      <c r="D140" s="710"/>
      <c r="E140" s="281"/>
      <c r="F140" s="344"/>
      <c r="G140" s="282"/>
      <c r="H140" s="345">
        <f>IFERROR(INDEX(【様式３】シフト表!$AK$7:$AK$106,MATCH($P140,【様式３】シフト表!$B$7:$B$106,0),1),0)</f>
        <v>0</v>
      </c>
      <c r="I140" s="111"/>
      <c r="J140" s="283"/>
      <c r="K140" s="284" t="str">
        <f t="shared" si="38"/>
        <v>-</v>
      </c>
      <c r="L140" s="136"/>
      <c r="M140" s="136"/>
      <c r="N140" s="285" t="b">
        <f t="shared" si="31"/>
        <v>0</v>
      </c>
      <c r="O140" s="346" t="b">
        <f>AND($O$41,C140=$O$42,N140,COUNTIF($O$43:$O139,TRUE)=0)</f>
        <v>0</v>
      </c>
      <c r="P140" s="287">
        <f>IF($F140&lt;&gt;$P$41,0,COUNTIF($F$44:F140,$P$41))</f>
        <v>0</v>
      </c>
      <c r="Q140" s="287" t="b">
        <f t="shared" si="32"/>
        <v>0</v>
      </c>
      <c r="R140" s="287" t="b">
        <f t="shared" si="33"/>
        <v>0</v>
      </c>
      <c r="S140" s="288" t="b">
        <f t="shared" si="34"/>
        <v>1</v>
      </c>
      <c r="T140" s="187"/>
      <c r="U140" s="347">
        <f t="shared" si="35"/>
        <v>0</v>
      </c>
      <c r="V140" s="290">
        <f t="shared" si="36"/>
        <v>0</v>
      </c>
      <c r="W140" s="347">
        <f t="shared" si="40"/>
        <v>0</v>
      </c>
      <c r="X140" s="290">
        <f t="shared" si="40"/>
        <v>0</v>
      </c>
      <c r="Y140" s="290">
        <f t="shared" si="40"/>
        <v>0</v>
      </c>
      <c r="Z140" s="348">
        <f t="shared" si="40"/>
        <v>0</v>
      </c>
      <c r="AA140" s="349">
        <f t="shared" si="37"/>
        <v>0</v>
      </c>
    </row>
    <row r="141" spans="1:27" ht="20.100000000000001" customHeight="1">
      <c r="A141" s="343">
        <f t="shared" si="39"/>
        <v>98</v>
      </c>
      <c r="B141" s="280"/>
      <c r="C141" s="344"/>
      <c r="D141" s="710"/>
      <c r="E141" s="281"/>
      <c r="F141" s="344"/>
      <c r="G141" s="282"/>
      <c r="H141" s="345">
        <f>IFERROR(INDEX(【様式３】シフト表!$AK$7:$AK$106,MATCH($P141,【様式３】シフト表!$B$7:$B$106,0),1),0)</f>
        <v>0</v>
      </c>
      <c r="I141" s="111"/>
      <c r="J141" s="283"/>
      <c r="K141" s="284" t="str">
        <f t="shared" si="38"/>
        <v>-</v>
      </c>
      <c r="L141" s="136"/>
      <c r="M141" s="136"/>
      <c r="N141" s="285" t="b">
        <f t="shared" si="31"/>
        <v>0</v>
      </c>
      <c r="O141" s="346" t="b">
        <f>AND($O$41,C141=$O$42,N141,COUNTIF($O$43:$O140,TRUE)=0)</f>
        <v>0</v>
      </c>
      <c r="P141" s="287">
        <f>IF($F141&lt;&gt;$P$41,0,COUNTIF($F$44:F141,$P$41))</f>
        <v>0</v>
      </c>
      <c r="Q141" s="287" t="b">
        <f t="shared" si="32"/>
        <v>0</v>
      </c>
      <c r="R141" s="287" t="b">
        <f t="shared" si="33"/>
        <v>0</v>
      </c>
      <c r="S141" s="288" t="b">
        <f t="shared" si="34"/>
        <v>1</v>
      </c>
      <c r="T141" s="187"/>
      <c r="U141" s="347">
        <f t="shared" si="35"/>
        <v>0</v>
      </c>
      <c r="V141" s="290">
        <f t="shared" si="36"/>
        <v>0</v>
      </c>
      <c r="W141" s="347">
        <f t="shared" si="40"/>
        <v>0</v>
      </c>
      <c r="X141" s="290">
        <f t="shared" si="40"/>
        <v>0</v>
      </c>
      <c r="Y141" s="290">
        <f t="shared" si="40"/>
        <v>0</v>
      </c>
      <c r="Z141" s="348">
        <f t="shared" si="40"/>
        <v>0</v>
      </c>
      <c r="AA141" s="349">
        <f t="shared" si="37"/>
        <v>0</v>
      </c>
    </row>
    <row r="142" spans="1:27" ht="20.100000000000001" customHeight="1">
      <c r="A142" s="343">
        <f t="shared" si="39"/>
        <v>99</v>
      </c>
      <c r="B142" s="280"/>
      <c r="C142" s="344"/>
      <c r="D142" s="710"/>
      <c r="E142" s="281"/>
      <c r="F142" s="344"/>
      <c r="G142" s="282"/>
      <c r="H142" s="345">
        <f>IFERROR(INDEX(【様式３】シフト表!$AK$7:$AK$106,MATCH($P142,【様式３】シフト表!$B$7:$B$106,0),1),0)</f>
        <v>0</v>
      </c>
      <c r="I142" s="111"/>
      <c r="J142" s="283"/>
      <c r="K142" s="284" t="str">
        <f t="shared" si="38"/>
        <v>-</v>
      </c>
      <c r="L142" s="136"/>
      <c r="M142" s="136"/>
      <c r="N142" s="285" t="b">
        <f t="shared" si="31"/>
        <v>0</v>
      </c>
      <c r="O142" s="346" t="b">
        <f>AND($O$41,C142=$O$42,N142,COUNTIF($O$43:$O141,TRUE)=0)</f>
        <v>0</v>
      </c>
      <c r="P142" s="287">
        <f>IF($F142&lt;&gt;$P$41,0,COUNTIF($F$44:F142,$P$41))</f>
        <v>0</v>
      </c>
      <c r="Q142" s="287" t="b">
        <f t="shared" si="32"/>
        <v>0</v>
      </c>
      <c r="R142" s="287" t="b">
        <f t="shared" si="33"/>
        <v>0</v>
      </c>
      <c r="S142" s="288" t="b">
        <f t="shared" si="34"/>
        <v>1</v>
      </c>
      <c r="T142" s="187"/>
      <c r="U142" s="347">
        <f t="shared" si="35"/>
        <v>0</v>
      </c>
      <c r="V142" s="290">
        <f t="shared" si="36"/>
        <v>0</v>
      </c>
      <c r="W142" s="347">
        <f t="shared" si="40"/>
        <v>0</v>
      </c>
      <c r="X142" s="290">
        <f t="shared" si="40"/>
        <v>0</v>
      </c>
      <c r="Y142" s="290">
        <f t="shared" si="40"/>
        <v>0</v>
      </c>
      <c r="Z142" s="348">
        <f t="shared" si="40"/>
        <v>0</v>
      </c>
      <c r="AA142" s="349">
        <f t="shared" si="37"/>
        <v>0</v>
      </c>
    </row>
    <row r="143" spans="1:27" ht="20.100000000000001" customHeight="1" thickBot="1">
      <c r="A143" s="350">
        <f t="shared" si="39"/>
        <v>100</v>
      </c>
      <c r="B143" s="297"/>
      <c r="C143" s="351"/>
      <c r="D143" s="711"/>
      <c r="E143" s="298"/>
      <c r="F143" s="351"/>
      <c r="G143" s="299"/>
      <c r="H143" s="352">
        <f>IFERROR(INDEX(【様式３】シフト表!$AK$7:$AK$106,MATCH($P143,【様式３】シフト表!$B$7:$B$106,0),1),0)</f>
        <v>0</v>
      </c>
      <c r="I143" s="300"/>
      <c r="J143" s="301"/>
      <c r="K143" s="302" t="str">
        <f t="shared" si="38"/>
        <v>-</v>
      </c>
      <c r="L143" s="136"/>
      <c r="M143" s="136"/>
      <c r="N143" s="303" t="b">
        <f t="shared" si="31"/>
        <v>0</v>
      </c>
      <c r="O143" s="353" t="b">
        <f>AND($O$41,C143=$O$42,N143,COUNTIF($O$43:$O142,TRUE)=0)</f>
        <v>0</v>
      </c>
      <c r="P143" s="305">
        <f>IF($F143&lt;&gt;$P$41,0,COUNTIF($F$44:F143,$P$41))</f>
        <v>0</v>
      </c>
      <c r="Q143" s="305" t="b">
        <f t="shared" si="32"/>
        <v>0</v>
      </c>
      <c r="R143" s="305" t="b">
        <f t="shared" si="33"/>
        <v>0</v>
      </c>
      <c r="S143" s="306" t="b">
        <f t="shared" si="34"/>
        <v>1</v>
      </c>
      <c r="T143" s="187"/>
      <c r="U143" s="354">
        <f t="shared" si="35"/>
        <v>0</v>
      </c>
      <c r="V143" s="308">
        <f t="shared" si="36"/>
        <v>0</v>
      </c>
      <c r="W143" s="354">
        <f t="shared" si="40"/>
        <v>0</v>
      </c>
      <c r="X143" s="308">
        <f t="shared" si="40"/>
        <v>0</v>
      </c>
      <c r="Y143" s="308">
        <f t="shared" si="40"/>
        <v>0</v>
      </c>
      <c r="Z143" s="355">
        <f t="shared" si="40"/>
        <v>0</v>
      </c>
      <c r="AA143" s="356">
        <f t="shared" si="37"/>
        <v>0</v>
      </c>
    </row>
    <row r="144" spans="1:27" ht="20.100000000000001" customHeight="1" thickBot="1">
      <c r="T144" s="357" t="str">
        <f t="shared" ref="T144" si="41">AC28</f>
        <v>施設長</v>
      </c>
      <c r="U144" s="358">
        <f>SUMIFS(U$44:U$143,$K$44:$K$143,$T144)</f>
        <v>0</v>
      </c>
      <c r="V144" s="359">
        <f>SUMIFS(V$44:V$143,$K$44:$K$143,$T144)</f>
        <v>0</v>
      </c>
      <c r="W144" s="340">
        <f t="shared" ref="W144:AA151" si="42">COUNTIF(W$44:W$143,$T144)</f>
        <v>0</v>
      </c>
      <c r="X144" s="341">
        <f t="shared" si="42"/>
        <v>0</v>
      </c>
      <c r="Y144" s="341">
        <f t="shared" si="42"/>
        <v>0</v>
      </c>
      <c r="Z144" s="341">
        <f t="shared" si="42"/>
        <v>0</v>
      </c>
      <c r="AA144" s="276">
        <f t="shared" si="42"/>
        <v>0</v>
      </c>
    </row>
    <row r="145" spans="12:27" ht="20.100000000000001" customHeight="1" thickBot="1">
      <c r="L145" s="209"/>
      <c r="M145" s="209"/>
      <c r="N145" s="209"/>
      <c r="O145" s="209"/>
      <c r="T145" s="360" t="str">
        <f t="shared" ref="T145:T151" si="43">AC30</f>
        <v>保育教諭（発令有）</v>
      </c>
      <c r="U145" s="361">
        <f t="shared" ref="U145:U151" si="44">SUMIFS(U$44:U$143,$K$44:$K$143,$T145)</f>
        <v>0</v>
      </c>
      <c r="V145" s="362">
        <f>SUM(SUMIFS(V$44:V$143,$K$44:$K$143,$T145),SUMIFS(V$30:V$34,$K$30:$K$34,$T145))</f>
        <v>0</v>
      </c>
      <c r="W145" s="347">
        <f t="shared" si="42"/>
        <v>0</v>
      </c>
      <c r="X145" s="290">
        <f t="shared" si="42"/>
        <v>0</v>
      </c>
      <c r="Y145" s="290">
        <f t="shared" si="42"/>
        <v>0</v>
      </c>
      <c r="Z145" s="290">
        <f t="shared" si="42"/>
        <v>0</v>
      </c>
      <c r="AA145" s="363">
        <f t="shared" si="42"/>
        <v>0</v>
      </c>
    </row>
    <row r="146" spans="12:27" ht="20.100000000000001" customHeight="1">
      <c r="L146" s="209"/>
      <c r="M146" s="209"/>
      <c r="N146" s="209"/>
      <c r="O146" s="209"/>
      <c r="T146" s="360" t="str">
        <f t="shared" si="43"/>
        <v>保育教諭（発令無）</v>
      </c>
      <c r="U146" s="361">
        <f t="shared" si="44"/>
        <v>0</v>
      </c>
      <c r="V146" s="349">
        <f t="shared" ref="V146:V151" si="45">SUMIFS(V$44:V$143,$K$44:$K$143,$T146)</f>
        <v>0</v>
      </c>
      <c r="W146" s="347">
        <f t="shared" si="42"/>
        <v>0</v>
      </c>
      <c r="X146" s="290">
        <f t="shared" si="42"/>
        <v>0</v>
      </c>
      <c r="Y146" s="290">
        <f t="shared" si="42"/>
        <v>0</v>
      </c>
      <c r="Z146" s="290">
        <f t="shared" si="42"/>
        <v>0</v>
      </c>
      <c r="AA146" s="363">
        <f t="shared" si="42"/>
        <v>0</v>
      </c>
    </row>
    <row r="147" spans="12:27" ht="20.100000000000001" customHeight="1">
      <c r="L147" s="209"/>
      <c r="M147" s="209"/>
      <c r="N147" s="209"/>
      <c r="O147" s="209"/>
      <c r="T147" s="360" t="str">
        <f t="shared" si="43"/>
        <v>栄養士等</v>
      </c>
      <c r="U147" s="361">
        <f t="shared" si="44"/>
        <v>0</v>
      </c>
      <c r="V147" s="349">
        <f t="shared" si="45"/>
        <v>0</v>
      </c>
      <c r="W147" s="347">
        <f t="shared" si="42"/>
        <v>0</v>
      </c>
      <c r="X147" s="290">
        <f t="shared" si="42"/>
        <v>0</v>
      </c>
      <c r="Y147" s="290">
        <f t="shared" si="42"/>
        <v>0</v>
      </c>
      <c r="Z147" s="290">
        <f t="shared" si="42"/>
        <v>0</v>
      </c>
      <c r="AA147" s="363">
        <f t="shared" si="42"/>
        <v>0</v>
      </c>
    </row>
    <row r="148" spans="12:27" ht="12">
      <c r="L148" s="209"/>
      <c r="M148" s="209"/>
      <c r="N148" s="209"/>
      <c r="O148" s="209"/>
      <c r="T148" s="360" t="str">
        <f t="shared" si="43"/>
        <v>調理員</v>
      </c>
      <c r="U148" s="361">
        <f t="shared" si="44"/>
        <v>0</v>
      </c>
      <c r="V148" s="363">
        <f t="shared" si="45"/>
        <v>0</v>
      </c>
      <c r="W148" s="347">
        <f t="shared" si="42"/>
        <v>0</v>
      </c>
      <c r="X148" s="290">
        <f t="shared" si="42"/>
        <v>0</v>
      </c>
      <c r="Y148" s="290">
        <f t="shared" si="42"/>
        <v>0</v>
      </c>
      <c r="Z148" s="290">
        <f t="shared" si="42"/>
        <v>0</v>
      </c>
      <c r="AA148" s="363">
        <f t="shared" si="42"/>
        <v>0</v>
      </c>
    </row>
    <row r="149" spans="12:27" ht="12">
      <c r="L149" s="105"/>
      <c r="M149" s="105"/>
      <c r="N149" s="105"/>
      <c r="O149" s="105"/>
      <c r="T149" s="360" t="str">
        <f t="shared" si="43"/>
        <v>事務員</v>
      </c>
      <c r="U149" s="361">
        <f t="shared" si="44"/>
        <v>0</v>
      </c>
      <c r="V149" s="363">
        <f t="shared" si="45"/>
        <v>0</v>
      </c>
      <c r="W149" s="347">
        <f t="shared" si="42"/>
        <v>0</v>
      </c>
      <c r="X149" s="290">
        <f t="shared" si="42"/>
        <v>0</v>
      </c>
      <c r="Y149" s="290">
        <f t="shared" si="42"/>
        <v>0</v>
      </c>
      <c r="Z149" s="290">
        <f t="shared" si="42"/>
        <v>0</v>
      </c>
      <c r="AA149" s="363">
        <f t="shared" si="42"/>
        <v>0</v>
      </c>
    </row>
    <row r="150" spans="12:27" ht="12">
      <c r="L150" s="105"/>
      <c r="M150" s="105"/>
      <c r="N150" s="105"/>
      <c r="O150" s="105"/>
      <c r="T150" s="360" t="str">
        <f t="shared" si="43"/>
        <v>学校医</v>
      </c>
      <c r="U150" s="361">
        <f t="shared" si="44"/>
        <v>0</v>
      </c>
      <c r="V150" s="349">
        <f t="shared" si="45"/>
        <v>0</v>
      </c>
      <c r="W150" s="347">
        <f t="shared" si="42"/>
        <v>0</v>
      </c>
      <c r="X150" s="290">
        <f t="shared" si="42"/>
        <v>0</v>
      </c>
      <c r="Y150" s="290">
        <f t="shared" si="42"/>
        <v>0</v>
      </c>
      <c r="Z150" s="290">
        <f t="shared" si="42"/>
        <v>0</v>
      </c>
      <c r="AA150" s="363">
        <f t="shared" si="42"/>
        <v>0</v>
      </c>
    </row>
    <row r="151" spans="12:27" ht="12.75" thickBot="1">
      <c r="L151" s="105"/>
      <c r="M151" s="105"/>
      <c r="N151" s="105"/>
      <c r="O151" s="105"/>
      <c r="T151" s="360" t="str">
        <f t="shared" si="43"/>
        <v>その他</v>
      </c>
      <c r="U151" s="364">
        <f t="shared" si="44"/>
        <v>0</v>
      </c>
      <c r="V151" s="356">
        <f t="shared" si="45"/>
        <v>0</v>
      </c>
      <c r="W151" s="354">
        <f t="shared" si="42"/>
        <v>0</v>
      </c>
      <c r="X151" s="308">
        <f t="shared" si="42"/>
        <v>0</v>
      </c>
      <c r="Y151" s="308">
        <f t="shared" si="42"/>
        <v>0</v>
      </c>
      <c r="Z151" s="308">
        <f t="shared" si="42"/>
        <v>0</v>
      </c>
      <c r="AA151" s="356">
        <f t="shared" si="42"/>
        <v>0</v>
      </c>
    </row>
    <row r="152" spans="12:27">
      <c r="T152" s="187"/>
      <c r="V152" s="78"/>
    </row>
    <row r="153" spans="12:27">
      <c r="T153" s="187"/>
      <c r="V153" s="78"/>
    </row>
    <row r="154" spans="12:27">
      <c r="T154" s="187"/>
      <c r="V154" s="78"/>
    </row>
    <row r="155" spans="12:27">
      <c r="T155" s="187"/>
      <c r="V155" s="78"/>
    </row>
    <row r="156" spans="12:27">
      <c r="T156" s="187"/>
      <c r="V156" s="78"/>
    </row>
    <row r="157" spans="12:27">
      <c r="T157" s="187"/>
      <c r="V157" s="78"/>
    </row>
    <row r="158" spans="12:27">
      <c r="L158" s="105"/>
      <c r="M158" s="105"/>
      <c r="N158" s="105"/>
      <c r="O158" s="105"/>
      <c r="T158" s="187"/>
      <c r="V158" s="78"/>
    </row>
    <row r="159" spans="12:27">
      <c r="T159" s="187"/>
      <c r="V159" s="78"/>
    </row>
    <row r="160" spans="12:27">
      <c r="T160" s="187"/>
      <c r="V160" s="78"/>
      <c r="X160" s="146"/>
    </row>
    <row r="161" spans="20:22">
      <c r="T161" s="187"/>
      <c r="V161" s="78"/>
    </row>
    <row r="162" spans="20:22">
      <c r="T162" s="187"/>
      <c r="V162" s="78"/>
    </row>
    <row r="163" spans="20:22">
      <c r="T163" s="187"/>
      <c r="V163" s="78"/>
    </row>
  </sheetData>
  <sheetProtection algorithmName="SHA-512" hashValue="z6Gz6JcskKQWDhRUP4ronrVjCOWH3llkfvXwKSJURaFYdrMUxjhqh91rarHn1S0vVEfQDxI5qUjUkyF5isH7Lg==" saltValue="4KiMu2OinwLRIf1qZGVEdQ==" spinCount="100000" sheet="1" objects="1" scenarios="1"/>
  <mergeCells count="68">
    <mergeCell ref="AM26:AN26"/>
    <mergeCell ref="AC25:AN25"/>
    <mergeCell ref="C37:H37"/>
    <mergeCell ref="C39:H39"/>
    <mergeCell ref="C40:H40"/>
    <mergeCell ref="C38:H38"/>
    <mergeCell ref="K37:K40"/>
    <mergeCell ref="B37:B40"/>
    <mergeCell ref="AH32:AI36"/>
    <mergeCell ref="Q25:S25"/>
    <mergeCell ref="AE28:AE36"/>
    <mergeCell ref="F42:F43"/>
    <mergeCell ref="G42:G43"/>
    <mergeCell ref="H42:H43"/>
    <mergeCell ref="I42:I43"/>
    <mergeCell ref="J41:J43"/>
    <mergeCell ref="K41:K43"/>
    <mergeCell ref="N25:P25"/>
    <mergeCell ref="U25:V25"/>
    <mergeCell ref="W25:AA25"/>
    <mergeCell ref="B18:C18"/>
    <mergeCell ref="D42:E42"/>
    <mergeCell ref="H28:H29"/>
    <mergeCell ref="I28:I29"/>
    <mergeCell ref="A41:B41"/>
    <mergeCell ref="C41:E41"/>
    <mergeCell ref="F41:H41"/>
    <mergeCell ref="A42:A43"/>
    <mergeCell ref="B42:B43"/>
    <mergeCell ref="A28:A29"/>
    <mergeCell ref="B28:B29"/>
    <mergeCell ref="C28:C29"/>
    <mergeCell ref="E28:E29"/>
    <mergeCell ref="F28:F29"/>
    <mergeCell ref="G28:G29"/>
    <mergeCell ref="D28:D29"/>
    <mergeCell ref="B15:C15"/>
    <mergeCell ref="I9:J9"/>
    <mergeCell ref="K9:K10"/>
    <mergeCell ref="B19:K19"/>
    <mergeCell ref="A27:B27"/>
    <mergeCell ref="C27:E27"/>
    <mergeCell ref="F27:H27"/>
    <mergeCell ref="J27:J29"/>
    <mergeCell ref="K27:K29"/>
    <mergeCell ref="A21:K21"/>
    <mergeCell ref="A22:K22"/>
    <mergeCell ref="A23:K23"/>
    <mergeCell ref="A24:K24"/>
    <mergeCell ref="B8:C10"/>
    <mergeCell ref="B11:C11"/>
    <mergeCell ref="B12:C12"/>
    <mergeCell ref="B16:C16"/>
    <mergeCell ref="B17:C17"/>
    <mergeCell ref="G9:G10"/>
    <mergeCell ref="H8:K8"/>
    <mergeCell ref="I1:K1"/>
    <mergeCell ref="A2:E2"/>
    <mergeCell ref="F2:G2"/>
    <mergeCell ref="B4:K4"/>
    <mergeCell ref="B5:E7"/>
    <mergeCell ref="G5:J5"/>
    <mergeCell ref="F6:F7"/>
    <mergeCell ref="G6:K7"/>
    <mergeCell ref="D9:F9"/>
    <mergeCell ref="D8:G8"/>
    <mergeCell ref="B13:C13"/>
    <mergeCell ref="B14:C14"/>
  </mergeCells>
  <phoneticPr fontId="1"/>
  <conditionalFormatting sqref="B44:B143">
    <cfRule type="duplicateValues" dxfId="53" priority="3"/>
  </conditionalFormatting>
  <conditionalFormatting sqref="C44:C143">
    <cfRule type="expression" dxfId="52" priority="2">
      <formula>C44="栄養士"</formula>
    </cfRule>
  </conditionalFormatting>
  <conditionalFormatting sqref="C38:H38">
    <cfRule type="notContainsBlanks" dxfId="51" priority="10">
      <formula>LEN(TRIM(C38))&gt;0</formula>
    </cfRule>
  </conditionalFormatting>
  <conditionalFormatting sqref="D44:D143">
    <cfRule type="expression" dxfId="50" priority="433">
      <formula>AND($C44&lt;&gt;$AC$30,$C44&lt;&gt;$AC$31)</formula>
    </cfRule>
  </conditionalFormatting>
  <conditionalFormatting sqref="G5">
    <cfRule type="expression" dxfId="49" priority="42">
      <formula>OR($G$5=0,ISTEXT($G$5))</formula>
    </cfRule>
  </conditionalFormatting>
  <conditionalFormatting sqref="G6">
    <cfRule type="expression" dxfId="48" priority="40">
      <formula>AND($G$5&gt;=150,NOT(ISTEXT($G$5)))</formula>
    </cfRule>
    <cfRule type="expression" dxfId="47" priority="41">
      <formula>AND($G$5&lt;150,NOT(ISTEXT($G$6)))</formula>
    </cfRule>
  </conditionalFormatting>
  <conditionalFormatting sqref="G44:G143">
    <cfRule type="expression" dxfId="46" priority="31">
      <formula>OR($F44="常勤",$F44="非常勤")</formula>
    </cfRule>
  </conditionalFormatting>
  <conditionalFormatting sqref="H28:H29">
    <cfRule type="containsText" dxfId="45" priority="29" operator="containsText" text="エラー">
      <formula>NOT(ISERROR(SEARCH("エラー",H28)))</formula>
    </cfRule>
  </conditionalFormatting>
  <conditionalFormatting sqref="H30:H34">
    <cfRule type="expression" dxfId="44" priority="26">
      <formula>ISTEXT($H30)</formula>
    </cfRule>
    <cfRule type="expression" dxfId="43" priority="28">
      <formula>$F30="委託"</formula>
    </cfRule>
  </conditionalFormatting>
  <conditionalFormatting sqref="H42:H43">
    <cfRule type="containsText" dxfId="42" priority="36" operator="containsText" text="エラー">
      <formula>NOT(ISERROR(SEARCH("エラー",H42)))</formula>
    </cfRule>
  </conditionalFormatting>
  <conditionalFormatting sqref="H44:H143">
    <cfRule type="expression" dxfId="41" priority="32">
      <formula>$F44="非常勤"</formula>
    </cfRule>
  </conditionalFormatting>
  <conditionalFormatting sqref="I30:I34 I44:I143">
    <cfRule type="expression" dxfId="40" priority="43">
      <formula>$I30&gt;$AJ$28</formula>
    </cfRule>
  </conditionalFormatting>
  <conditionalFormatting sqref="I38">
    <cfRule type="expression" dxfId="39" priority="11">
      <formula>AND($B$37&lt;&gt;"",$D$42&lt;&gt;"幼保")</formula>
    </cfRule>
  </conditionalFormatting>
  <conditionalFormatting sqref="I39:I40">
    <cfRule type="expression" dxfId="38" priority="9">
      <formula>AND($B$37&lt;&gt;"",$I$37="×")</formula>
    </cfRule>
  </conditionalFormatting>
  <conditionalFormatting sqref="J38">
    <cfRule type="containsText" dxfId="37" priority="4" operator="containsText" text="←入力漏れ">
      <formula>NOT(ISERROR(SEARCH("←入力漏れ",J38)))</formula>
    </cfRule>
  </conditionalFormatting>
  <conditionalFormatting sqref="J39">
    <cfRule type="expression" dxfId="36" priority="7">
      <formula>$J$39="←入力漏れ"</formula>
    </cfRule>
  </conditionalFormatting>
  <conditionalFormatting sqref="J40">
    <cfRule type="expression" dxfId="35" priority="5">
      <formula>$I$40&lt;&gt;""</formula>
    </cfRule>
    <cfRule type="expression" dxfId="34" priority="6">
      <formula>$J$40="←入力漏れ"</formula>
    </cfRule>
    <cfRule type="expression" dxfId="33" priority="8">
      <formula>$J$40="研修終了証を要提出"</formula>
    </cfRule>
  </conditionalFormatting>
  <conditionalFormatting sqref="K30:K34">
    <cfRule type="containsText" dxfId="32" priority="25" operator="containsText" text="エラー">
      <formula>NOT(ISERROR(SEARCH("エラー",K30)))</formula>
    </cfRule>
  </conditionalFormatting>
  <conditionalFormatting sqref="K44:K143">
    <cfRule type="containsText" dxfId="31" priority="37" operator="containsText" text="エラー">
      <formula>NOT(ISERROR(SEARCH("エラー",K44)))</formula>
    </cfRule>
  </conditionalFormatting>
  <conditionalFormatting sqref="K94:M112">
    <cfRule type="containsText" dxfId="30" priority="33" operator="containsText" text="エラー">
      <formula>NOT(ISERROR(SEARCH("エラー",K94)))</formula>
    </cfRule>
  </conditionalFormatting>
  <conditionalFormatting sqref="K131:M131">
    <cfRule type="containsText" dxfId="29" priority="30" operator="containsText" text="エラー">
      <formula>NOT(ISERROR(SEARCH("エラー",K131)))</formula>
    </cfRule>
  </conditionalFormatting>
  <dataValidations count="12">
    <dataValidation type="decimal" allowBlank="1" showInputMessage="1" showErrorMessage="1" sqref="H44:H143" xr:uid="{00000000-0002-0000-0D00-000001000000}">
      <formula1>0</formula1>
      <formula2>200</formula2>
    </dataValidation>
    <dataValidation type="decimal" errorStyle="warning" operator="greaterThanOrEqual" allowBlank="1" showInputMessage="1" showErrorMessage="1" errorTitle="150時間未満の場合" error="以下の理由欄に記載してください。" sqref="G5" xr:uid="{00000000-0002-0000-0D00-000002000000}">
      <formula1>150</formula1>
    </dataValidation>
    <dataValidation type="list" showInputMessage="1" showErrorMessage="1" sqref="G44:G143" xr:uid="{00000000-0002-0000-0D00-000003000000}">
      <formula1>INDIRECT($F44)</formula1>
    </dataValidation>
    <dataValidation type="date" operator="lessThanOrEqual" allowBlank="1" showInputMessage="1" showErrorMessage="1" errorTitle="雇用開始月日が不正です。" sqref="I44:I143 I30:I34" xr:uid="{00000000-0002-0000-0D00-000004000000}">
      <formula1>$AJ$28</formula1>
    </dataValidation>
    <dataValidation type="list" showInputMessage="1" showErrorMessage="1" sqref="F44:F143" xr:uid="{00000000-0002-0000-0D00-000005000000}">
      <formula1>$AG$27:$AG$30</formula1>
    </dataValidation>
    <dataValidation type="list" showInputMessage="1" showErrorMessage="1" sqref="E44:E143 E30:E34" xr:uid="{00000000-0002-0000-0D00-000006000000}">
      <formula1>$AF$27:$AF$30</formula1>
    </dataValidation>
    <dataValidation type="list" showInputMessage="1" showErrorMessage="1" sqref="D44:D143" xr:uid="{00000000-0002-0000-0D00-000007000000}">
      <formula1>$AD$27:$AD$32</formula1>
    </dataValidation>
    <dataValidation type="list" allowBlank="1" showInputMessage="1" showErrorMessage="1" sqref="AE27" xr:uid="{00000000-0002-0000-0D00-000008000000}">
      <formula1>"○"</formula1>
    </dataValidation>
    <dataValidation type="list" showInputMessage="1" showErrorMessage="1" sqref="C44:C143" xr:uid="{00000000-0002-0000-0D00-000009000000}">
      <formula1>$AC$27:$AC$37</formula1>
    </dataValidation>
    <dataValidation type="decimal" operator="greaterThan" allowBlank="1" showInputMessage="1" showErrorMessage="1" sqref="H30:H34" xr:uid="{00000000-0002-0000-0D00-000000000000}">
      <formula1>0</formula1>
    </dataValidation>
    <dataValidation type="list" allowBlank="1" showInputMessage="1" showErrorMessage="1" sqref="I40" xr:uid="{F91B7D89-699C-46B2-A2D9-92952D458AD2}">
      <formula1>$AL$27:$AL$30</formula1>
    </dataValidation>
    <dataValidation type="list" allowBlank="1" showInputMessage="1" showErrorMessage="1" sqref="I38:I39" xr:uid="{EE959826-086B-4278-8F5F-F7570CA2128B}">
      <formula1>$AK$27:$AK$29</formula1>
    </dataValidation>
  </dataValidations>
  <pageMargins left="0.59055118110236227" right="0.59055118110236227" top="0.55118110236220474" bottom="0.15748031496062992" header="0.31496062992125984" footer="0.31496062992125984"/>
  <pageSetup paperSize="9" scale="56" fitToHeight="2" orientation="portrait" r:id="rId1"/>
  <rowBreaks count="1" manualBreakCount="1">
    <brk id="101" max="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FF0000"/>
    <pageSetUpPr fitToPage="1"/>
  </sheetPr>
  <dimension ref="A1:AX107"/>
  <sheetViews>
    <sheetView view="pageBreakPreview" topLeftCell="B1" zoomScale="90" zoomScaleNormal="100" zoomScaleSheetLayoutView="90" workbookViewId="0">
      <selection activeCell="B1" sqref="B1:E1"/>
    </sheetView>
  </sheetViews>
  <sheetFormatPr defaultColWidth="9" defaultRowHeight="12" outlineLevelCol="1"/>
  <cols>
    <col min="1" max="1" width="4" style="64" hidden="1" customWidth="1"/>
    <col min="2" max="2" width="2.625" style="64" customWidth="1"/>
    <col min="3" max="3" width="20.125" style="64" customWidth="1"/>
    <col min="4" max="5" width="3.125" style="64" customWidth="1"/>
    <col min="6" max="36" width="5.625" style="64" customWidth="1"/>
    <col min="37" max="37" width="13.625" style="64" customWidth="1"/>
    <col min="38" max="38" width="50.625" style="64" customWidth="1"/>
    <col min="39" max="39" width="9" style="95" hidden="1" customWidth="1" outlineLevel="1"/>
    <col min="40" max="40" width="9" style="93" hidden="1" customWidth="1" outlineLevel="1"/>
    <col min="41" max="49" width="9" style="64" hidden="1" customWidth="1" outlineLevel="1"/>
    <col min="50" max="50" width="9" style="64" customWidth="1" collapsed="1"/>
    <col min="51" max="16384" width="9" style="64"/>
  </cols>
  <sheetData>
    <row r="1" spans="1:49" s="87" customFormat="1" ht="15" customHeight="1" thickBot="1">
      <c r="A1" s="83"/>
      <c r="B1" s="2585" t="s">
        <v>426</v>
      </c>
      <c r="C1" s="2585"/>
      <c r="D1" s="2585"/>
      <c r="E1" s="2585"/>
      <c r="F1" s="365"/>
      <c r="G1" s="2586">
        <f>AO1</f>
        <v>2025</v>
      </c>
      <c r="H1" s="2586"/>
      <c r="I1" s="96" t="s">
        <v>427</v>
      </c>
      <c r="J1" s="96">
        <f>AO2</f>
        <v>4</v>
      </c>
      <c r="K1" s="96" t="s">
        <v>428</v>
      </c>
      <c r="L1" s="2587" t="s">
        <v>429</v>
      </c>
      <c r="M1" s="2587"/>
      <c r="N1" s="2587"/>
      <c r="O1" s="2587"/>
      <c r="P1" s="2587"/>
      <c r="Q1" s="2587"/>
      <c r="R1" s="2587"/>
      <c r="S1" s="2587"/>
      <c r="T1" s="2587"/>
      <c r="U1" s="84"/>
      <c r="V1" s="84"/>
      <c r="W1" s="84"/>
      <c r="X1" s="84"/>
      <c r="Y1" s="84"/>
      <c r="Z1" s="84"/>
      <c r="AA1" s="84"/>
      <c r="AB1" s="84"/>
      <c r="AC1" s="2588" t="str">
        <f>AM2&amp;"様式3"&amp;AM3</f>
        <v>加-25_4月申-様式3-認_Ver.4.02</v>
      </c>
      <c r="AD1" s="2588"/>
      <c r="AE1" s="2588"/>
      <c r="AF1" s="2588"/>
      <c r="AG1" s="2588"/>
      <c r="AH1" s="2588"/>
      <c r="AI1" s="2588"/>
      <c r="AJ1" s="2588"/>
      <c r="AK1" s="84"/>
      <c r="AL1" s="84"/>
      <c r="AM1" s="264" t="s">
        <v>1163</v>
      </c>
      <c r="AN1" s="141" t="s">
        <v>427</v>
      </c>
      <c r="AO1" s="85">
        <f>【様式１】総括表・個票!D10</f>
        <v>2025</v>
      </c>
      <c r="AP1" s="97" t="s">
        <v>430</v>
      </c>
      <c r="AQ1" s="86">
        <v>1</v>
      </c>
      <c r="AR1" s="86">
        <v>2</v>
      </c>
      <c r="AS1" s="86">
        <v>3</v>
      </c>
      <c r="AT1" s="86">
        <v>4</v>
      </c>
      <c r="AU1" s="86">
        <v>5</v>
      </c>
      <c r="AV1" s="86">
        <v>6</v>
      </c>
      <c r="AW1" s="86">
        <v>7</v>
      </c>
    </row>
    <row r="2" spans="1:49" ht="15" customHeight="1" thickBot="1">
      <c r="A2" s="88"/>
      <c r="B2" s="89" t="s">
        <v>771</v>
      </c>
      <c r="C2" s="2589" t="s">
        <v>772</v>
      </c>
      <c r="D2" s="2589"/>
      <c r="E2" s="2590"/>
      <c r="F2" s="2591">
        <f>【様式１】総括表・個票!W4</f>
        <v>45820</v>
      </c>
      <c r="G2" s="2592"/>
      <c r="H2" s="2592"/>
      <c r="I2" s="2592"/>
      <c r="J2" s="2593"/>
      <c r="K2" s="2618" t="s">
        <v>631</v>
      </c>
      <c r="L2" s="2619"/>
      <c r="M2" s="2619"/>
      <c r="N2" s="2619"/>
      <c r="O2" s="2619"/>
      <c r="P2" s="2619"/>
      <c r="Q2" s="2619"/>
      <c r="R2" s="2619"/>
      <c r="S2" s="2619"/>
      <c r="T2" s="2619"/>
      <c r="U2" s="2619"/>
      <c r="V2" s="2619"/>
      <c r="W2" s="2619"/>
      <c r="X2" s="2619"/>
      <c r="Y2" s="2619"/>
      <c r="Z2" s="2619"/>
      <c r="AA2" s="2596" t="s">
        <v>1214</v>
      </c>
      <c r="AB2" s="2620"/>
      <c r="AC2" s="2594"/>
      <c r="AD2" s="2595"/>
      <c r="AE2" s="62" t="s">
        <v>431</v>
      </c>
      <c r="AF2" s="2596" t="s">
        <v>773</v>
      </c>
      <c r="AG2" s="2596"/>
      <c r="AH2" s="2598">
        <f>SUM(AC2,ROUND(AC3/60,2))</f>
        <v>0</v>
      </c>
      <c r="AI2" s="2599"/>
      <c r="AJ2" s="2612" t="s">
        <v>432</v>
      </c>
      <c r="AK2" s="90"/>
      <c r="AL2" s="90"/>
      <c r="AM2" s="264" t="str">
        <f>【様式１】総括表・個票!$AJ$2</f>
        <v>加-25_4月申-</v>
      </c>
      <c r="AN2" s="85" t="s">
        <v>433</v>
      </c>
      <c r="AO2" s="85">
        <f>【様式１】総括表・個票!I10</f>
        <v>4</v>
      </c>
      <c r="AP2" s="97" t="s">
        <v>434</v>
      </c>
      <c r="AQ2" s="98" t="s">
        <v>435</v>
      </c>
      <c r="AR2" s="99" t="s">
        <v>436</v>
      </c>
      <c r="AS2" s="99" t="s">
        <v>437</v>
      </c>
      <c r="AT2" s="99" t="s">
        <v>438</v>
      </c>
      <c r="AU2" s="99" t="s">
        <v>439</v>
      </c>
      <c r="AV2" s="99" t="s">
        <v>440</v>
      </c>
      <c r="AW2" s="100" t="s">
        <v>441</v>
      </c>
    </row>
    <row r="3" spans="1:49" ht="15" customHeight="1" thickBot="1">
      <c r="A3" s="91"/>
      <c r="B3" s="89" t="s">
        <v>771</v>
      </c>
      <c r="C3" s="2589" t="s">
        <v>3</v>
      </c>
      <c r="D3" s="2589"/>
      <c r="E3" s="2590"/>
      <c r="F3" s="2613">
        <f>【様式１】総括表・個票!D12</f>
        <v>0</v>
      </c>
      <c r="G3" s="2614"/>
      <c r="H3" s="2614"/>
      <c r="I3" s="2614"/>
      <c r="J3" s="2615"/>
      <c r="K3" s="2621" t="s">
        <v>774</v>
      </c>
      <c r="L3" s="2622"/>
      <c r="M3" s="2622"/>
      <c r="N3" s="2622"/>
      <c r="O3" s="2622"/>
      <c r="P3" s="2622"/>
      <c r="Q3" s="2622"/>
      <c r="R3" s="2622"/>
      <c r="S3" s="2622"/>
      <c r="T3" s="2622"/>
      <c r="U3" s="2622"/>
      <c r="V3" s="2622"/>
      <c r="W3" s="2622"/>
      <c r="X3" s="2622"/>
      <c r="Y3" s="2622"/>
      <c r="Z3" s="2622"/>
      <c r="AA3" s="2597"/>
      <c r="AB3" s="2601"/>
      <c r="AC3" s="2616"/>
      <c r="AD3" s="2617"/>
      <c r="AE3" s="63" t="s">
        <v>442</v>
      </c>
      <c r="AF3" s="2597"/>
      <c r="AG3" s="2597"/>
      <c r="AH3" s="2600"/>
      <c r="AI3" s="2601"/>
      <c r="AJ3" s="2582"/>
      <c r="AK3" s="366" t="s">
        <v>775</v>
      </c>
      <c r="AL3" s="92"/>
      <c r="AM3" s="264" t="str">
        <f>【様式１】総括表・個票!$AJ$3</f>
        <v>-認_Ver.4.02</v>
      </c>
      <c r="AP3" s="101"/>
      <c r="AQ3" s="131"/>
    </row>
    <row r="4" spans="1:49" ht="15" customHeight="1">
      <c r="A4" s="91"/>
      <c r="B4" s="2578" t="s">
        <v>776</v>
      </c>
      <c r="C4" s="2580" t="s">
        <v>443</v>
      </c>
      <c r="D4" s="2583" t="s">
        <v>444</v>
      </c>
      <c r="E4" s="2584"/>
      <c r="F4" s="367">
        <v>1</v>
      </c>
      <c r="G4" s="367">
        <v>2</v>
      </c>
      <c r="H4" s="367">
        <v>3</v>
      </c>
      <c r="I4" s="367">
        <v>4</v>
      </c>
      <c r="J4" s="367">
        <v>5</v>
      </c>
      <c r="K4" s="367">
        <v>6</v>
      </c>
      <c r="L4" s="367">
        <v>7</v>
      </c>
      <c r="M4" s="367">
        <v>8</v>
      </c>
      <c r="N4" s="367">
        <v>9</v>
      </c>
      <c r="O4" s="367">
        <v>10</v>
      </c>
      <c r="P4" s="367">
        <v>11</v>
      </c>
      <c r="Q4" s="367">
        <v>12</v>
      </c>
      <c r="R4" s="367">
        <v>13</v>
      </c>
      <c r="S4" s="367">
        <v>14</v>
      </c>
      <c r="T4" s="367">
        <v>15</v>
      </c>
      <c r="U4" s="367">
        <v>16</v>
      </c>
      <c r="V4" s="367">
        <v>17</v>
      </c>
      <c r="W4" s="367">
        <v>18</v>
      </c>
      <c r="X4" s="367">
        <v>19</v>
      </c>
      <c r="Y4" s="367">
        <v>20</v>
      </c>
      <c r="Z4" s="367">
        <v>21</v>
      </c>
      <c r="AA4" s="367">
        <v>22</v>
      </c>
      <c r="AB4" s="367">
        <v>23</v>
      </c>
      <c r="AC4" s="367">
        <v>24</v>
      </c>
      <c r="AD4" s="367">
        <v>25</v>
      </c>
      <c r="AE4" s="367">
        <v>26</v>
      </c>
      <c r="AF4" s="367">
        <v>27</v>
      </c>
      <c r="AG4" s="367">
        <v>28</v>
      </c>
      <c r="AH4" s="367">
        <f>IF(AG4="","",IF(MONTH(DATE($AO$1,$AO$2,AG4+1))=$AO$2,AG4+1,""))</f>
        <v>29</v>
      </c>
      <c r="AI4" s="367">
        <f>IF(AH4="","",IF(MONTH(DATE($AO$1,$AO$2,AH4+1))=$AO$2,AH4+1,""))</f>
        <v>30</v>
      </c>
      <c r="AJ4" s="367" t="str">
        <f>IF(AI4="","",IF(MONTH(DATE($AO$1,$AO$2,AI4+1))=$AO$2,AI4+1,""))</f>
        <v/>
      </c>
      <c r="AK4" s="2602" t="s">
        <v>22</v>
      </c>
      <c r="AL4" s="94"/>
      <c r="AM4" s="64"/>
      <c r="AN4" s="64"/>
      <c r="AP4" s="101"/>
    </row>
    <row r="5" spans="1:49" ht="15" customHeight="1">
      <c r="A5" s="91"/>
      <c r="B5" s="2579"/>
      <c r="C5" s="2581"/>
      <c r="D5" s="2604" t="s">
        <v>641</v>
      </c>
      <c r="E5" s="2605"/>
      <c r="F5" s="368" t="str">
        <f>IF(F4&lt;&gt;"",IF(OR(WEEKDAY(DATE($AO$1,$AO$2,F$4),2)&gt;6,COUNTIF('休日情報(要更新)'!$A$5:$J$32,DATE($AO$1,$AO$2,F$4)) &gt;=1),"○",""),"")</f>
        <v/>
      </c>
      <c r="G5" s="368" t="str">
        <f>IF(G4&lt;&gt;"",IF(OR(WEEKDAY(DATE($AO$1,$AO$2,G$4),2)&gt;6,COUNTIF('休日情報(要更新)'!$A$5:$J$32,DATE($AO$1,$AO$2,G$4)) &gt;=1),"○",""),"")</f>
        <v/>
      </c>
      <c r="H5" s="368" t="str">
        <f>IF(H4&lt;&gt;"",IF(OR(WEEKDAY(DATE($AO$1,$AO$2,H$4),2)&gt;6,COUNTIF('休日情報(要更新)'!$A$5:$J$32,DATE($AO$1,$AO$2,H$4)) &gt;=1),"○",""),"")</f>
        <v/>
      </c>
      <c r="I5" s="368" t="str">
        <f>IF(I4&lt;&gt;"",IF(OR(WEEKDAY(DATE($AO$1,$AO$2,I$4),2)&gt;6,COUNTIF('休日情報(要更新)'!$A$5:$J$32,DATE($AO$1,$AO$2,I$4)) &gt;=1),"○",""),"")</f>
        <v/>
      </c>
      <c r="J5" s="368" t="str">
        <f>IF(J4&lt;&gt;"",IF(OR(WEEKDAY(DATE($AO$1,$AO$2,J$4),2)&gt;6,COUNTIF('休日情報(要更新)'!$A$5:$J$32,DATE($AO$1,$AO$2,J$4)) &gt;=1),"○",""),"")</f>
        <v/>
      </c>
      <c r="K5" s="368" t="str">
        <f>IF(K4&lt;&gt;"",IF(OR(WEEKDAY(DATE($AO$1,$AO$2,K$4),2)&gt;6,COUNTIF('休日情報(要更新)'!$A$5:$J$32,DATE($AO$1,$AO$2,K$4)) &gt;=1),"○",""),"")</f>
        <v>○</v>
      </c>
      <c r="L5" s="368" t="str">
        <f>IF(L4&lt;&gt;"",IF(OR(WEEKDAY(DATE($AO$1,$AO$2,L$4),2)&gt;6,COUNTIF('休日情報(要更新)'!$A$5:$J$32,DATE($AO$1,$AO$2,L$4)) &gt;=1),"○",""),"")</f>
        <v/>
      </c>
      <c r="M5" s="368" t="str">
        <f>IF(M4&lt;&gt;"",IF(OR(WEEKDAY(DATE($AO$1,$AO$2,M$4),2)&gt;6,COUNTIF('休日情報(要更新)'!$A$5:$J$32,DATE($AO$1,$AO$2,M$4)) &gt;=1),"○",""),"")</f>
        <v/>
      </c>
      <c r="N5" s="368" t="str">
        <f>IF(N4&lt;&gt;"",IF(OR(WEEKDAY(DATE($AO$1,$AO$2,N$4),2)&gt;6,COUNTIF('休日情報(要更新)'!$A$5:$J$32,DATE($AO$1,$AO$2,N$4)) &gt;=1),"○",""),"")</f>
        <v/>
      </c>
      <c r="O5" s="368" t="str">
        <f>IF(O4&lt;&gt;"",IF(OR(WEEKDAY(DATE($AO$1,$AO$2,O$4),2)&gt;6,COUNTIF('休日情報(要更新)'!$A$5:$J$32,DATE($AO$1,$AO$2,O$4)) &gt;=1),"○",""),"")</f>
        <v/>
      </c>
      <c r="P5" s="368" t="str">
        <f>IF(P4&lt;&gt;"",IF(OR(WEEKDAY(DATE($AO$1,$AO$2,P$4),2)&gt;6,COUNTIF('休日情報(要更新)'!$A$5:$J$32,DATE($AO$1,$AO$2,P$4)) &gt;=1),"○",""),"")</f>
        <v/>
      </c>
      <c r="Q5" s="368" t="str">
        <f>IF(Q4&lt;&gt;"",IF(OR(WEEKDAY(DATE($AO$1,$AO$2,Q$4),2)&gt;6,COUNTIF('休日情報(要更新)'!$A$5:$J$32,DATE($AO$1,$AO$2,Q$4)) &gt;=1),"○",""),"")</f>
        <v/>
      </c>
      <c r="R5" s="368" t="str">
        <f>IF(R4&lt;&gt;"",IF(OR(WEEKDAY(DATE($AO$1,$AO$2,R$4),2)&gt;6,COUNTIF('休日情報(要更新)'!$A$5:$J$32,DATE($AO$1,$AO$2,R$4)) &gt;=1),"○",""),"")</f>
        <v>○</v>
      </c>
      <c r="S5" s="368" t="str">
        <f>IF(S4&lt;&gt;"",IF(OR(WEEKDAY(DATE($AO$1,$AO$2,S$4),2)&gt;6,COUNTIF('休日情報(要更新)'!$A$5:$J$32,DATE($AO$1,$AO$2,S$4)) &gt;=1),"○",""),"")</f>
        <v/>
      </c>
      <c r="T5" s="368" t="str">
        <f>IF(T4&lt;&gt;"",IF(OR(WEEKDAY(DATE($AO$1,$AO$2,T$4),2)&gt;6,COUNTIF('休日情報(要更新)'!$A$5:$J$32,DATE($AO$1,$AO$2,T$4)) &gt;=1),"○",""),"")</f>
        <v/>
      </c>
      <c r="U5" s="368" t="str">
        <f>IF(U4&lt;&gt;"",IF(OR(WEEKDAY(DATE($AO$1,$AO$2,U$4),2)&gt;6,COUNTIF('休日情報(要更新)'!$A$5:$J$32,DATE($AO$1,$AO$2,U$4)) &gt;=1),"○",""),"")</f>
        <v/>
      </c>
      <c r="V5" s="368" t="str">
        <f>IF(V4&lt;&gt;"",IF(OR(WEEKDAY(DATE($AO$1,$AO$2,V$4),2)&gt;6,COUNTIF('休日情報(要更新)'!$A$5:$J$32,DATE($AO$1,$AO$2,V$4)) &gt;=1),"○",""),"")</f>
        <v/>
      </c>
      <c r="W5" s="368" t="str">
        <f>IF(W4&lt;&gt;"",IF(OR(WEEKDAY(DATE($AO$1,$AO$2,W$4),2)&gt;6,COUNTIF('休日情報(要更新)'!$A$5:$J$32,DATE($AO$1,$AO$2,W$4)) &gt;=1),"○",""),"")</f>
        <v/>
      </c>
      <c r="X5" s="368" t="str">
        <f>IF(X4&lt;&gt;"",IF(OR(WEEKDAY(DATE($AO$1,$AO$2,X$4),2)&gt;6,COUNTIF('休日情報(要更新)'!$A$5:$J$32,DATE($AO$1,$AO$2,X$4)) &gt;=1),"○",""),"")</f>
        <v/>
      </c>
      <c r="Y5" s="368" t="str">
        <f>IF(Y4&lt;&gt;"",IF(OR(WEEKDAY(DATE($AO$1,$AO$2,Y$4),2)&gt;6,COUNTIF('休日情報(要更新)'!$A$5:$J$32,DATE($AO$1,$AO$2,Y$4)) &gt;=1),"○",""),"")</f>
        <v>○</v>
      </c>
      <c r="Z5" s="368" t="str">
        <f>IF(Z4&lt;&gt;"",IF(OR(WEEKDAY(DATE($AO$1,$AO$2,Z$4),2)&gt;6,COUNTIF('休日情報(要更新)'!$A$5:$J$32,DATE($AO$1,$AO$2,Z$4)) &gt;=1),"○",""),"")</f>
        <v/>
      </c>
      <c r="AA5" s="368" t="str">
        <f>IF(AA4&lt;&gt;"",IF(OR(WEEKDAY(DATE($AO$1,$AO$2,AA$4),2)&gt;6,COUNTIF('休日情報(要更新)'!$A$5:$J$32,DATE($AO$1,$AO$2,AA$4)) &gt;=1),"○",""),"")</f>
        <v/>
      </c>
      <c r="AB5" s="368" t="str">
        <f>IF(AB4&lt;&gt;"",IF(OR(WEEKDAY(DATE($AO$1,$AO$2,AB$4),2)&gt;6,COUNTIF('休日情報(要更新)'!$A$5:$J$32,DATE($AO$1,$AO$2,AB$4)) &gt;=1),"○",""),"")</f>
        <v/>
      </c>
      <c r="AC5" s="368" t="str">
        <f>IF(AC4&lt;&gt;"",IF(OR(WEEKDAY(DATE($AO$1,$AO$2,AC$4),2)&gt;6,COUNTIF('休日情報(要更新)'!$A$5:$J$32,DATE($AO$1,$AO$2,AC$4)) &gt;=1),"○",""),"")</f>
        <v/>
      </c>
      <c r="AD5" s="368" t="str">
        <f>IF(AD4&lt;&gt;"",IF(OR(WEEKDAY(DATE($AO$1,$AO$2,AD$4),2)&gt;6,COUNTIF('休日情報(要更新)'!$A$5:$J$32,DATE($AO$1,$AO$2,AD$4)) &gt;=1),"○",""),"")</f>
        <v/>
      </c>
      <c r="AE5" s="368" t="str">
        <f>IF(AE4&lt;&gt;"",IF(OR(WEEKDAY(DATE($AO$1,$AO$2,AE$4),2)&gt;6,COUNTIF('休日情報(要更新)'!$A$5:$J$32,DATE($AO$1,$AO$2,AE$4)) &gt;=1),"○",""),"")</f>
        <v/>
      </c>
      <c r="AF5" s="368" t="str">
        <f>IF(AF4&lt;&gt;"",IF(OR(WEEKDAY(DATE($AO$1,$AO$2,AF$4),2)&gt;6,COUNTIF('休日情報(要更新)'!$A$5:$J$32,DATE($AO$1,$AO$2,AF$4)) &gt;=1),"○",""),"")</f>
        <v>○</v>
      </c>
      <c r="AG5" s="368" t="str">
        <f>IF(AG4&lt;&gt;"",IF(OR(WEEKDAY(DATE($AO$1,$AO$2,AG$4),2)&gt;6,COUNTIF('休日情報(要更新)'!$A$5:$J$32,DATE($AO$1,$AO$2,AG$4)) &gt;=1),"○",""),"")</f>
        <v/>
      </c>
      <c r="AH5" s="368" t="str">
        <f>IF(AH4&lt;&gt;"",IF(OR(WEEKDAY(DATE($AO$1,$AO$2,AH$4),2)&gt;6,COUNTIF('休日情報(要更新)'!$A$5:$J$32,DATE($AO$1,$AO$2,AH$4)) &gt;=1),"○",""),"")</f>
        <v>○</v>
      </c>
      <c r="AI5" s="368" t="str">
        <f>IF(AI4&lt;&gt;"",IF(OR(WEEKDAY(DATE($AO$1,$AO$2,AI$4),2)&gt;6,COUNTIF('休日情報(要更新)'!$A$5:$J$32,DATE($AO$1,$AO$2,AI$4)) &gt;=1),"○",""),"")</f>
        <v/>
      </c>
      <c r="AJ5" s="368" t="str">
        <f>IF(AJ4&lt;&gt;"",IF(OR(WEEKDAY(DATE($AO$1,$AO$2,AJ$4),2)&gt;6,COUNTIF('休日情報(要更新)'!$A$5:$J$32,DATE($AO$1,$AO$2,AJ$4)) &gt;=1),"○",""),"")</f>
        <v/>
      </c>
      <c r="AK5" s="2603"/>
      <c r="AL5" s="94"/>
      <c r="AM5" s="64"/>
      <c r="AN5" s="64"/>
      <c r="AP5" s="101"/>
    </row>
    <row r="6" spans="1:49" ht="15" customHeight="1" thickBot="1">
      <c r="A6" s="91"/>
      <c r="B6" s="2579"/>
      <c r="C6" s="2582"/>
      <c r="D6" s="2606" t="s">
        <v>445</v>
      </c>
      <c r="E6" s="2607"/>
      <c r="F6" s="971" t="str">
        <f t="shared" ref="F6:AG6" si="0">HLOOKUP(WEEKDAY(DATE($AO$1,$AO$2,F$4)),$AQ$1:$AW$2,2,FALSE)</f>
        <v>（火）</v>
      </c>
      <c r="G6" s="971" t="str">
        <f t="shared" si="0"/>
        <v>（水）</v>
      </c>
      <c r="H6" s="971" t="str">
        <f t="shared" si="0"/>
        <v>（木）</v>
      </c>
      <c r="I6" s="971" t="str">
        <f t="shared" si="0"/>
        <v>（金）</v>
      </c>
      <c r="J6" s="971" t="str">
        <f t="shared" si="0"/>
        <v>（土）</v>
      </c>
      <c r="K6" s="971" t="str">
        <f t="shared" si="0"/>
        <v>（日）</v>
      </c>
      <c r="L6" s="971" t="str">
        <f t="shared" si="0"/>
        <v>（月）</v>
      </c>
      <c r="M6" s="971" t="str">
        <f t="shared" si="0"/>
        <v>（火）</v>
      </c>
      <c r="N6" s="971" t="str">
        <f t="shared" si="0"/>
        <v>（水）</v>
      </c>
      <c r="O6" s="971" t="str">
        <f t="shared" si="0"/>
        <v>（木）</v>
      </c>
      <c r="P6" s="971" t="str">
        <f t="shared" si="0"/>
        <v>（金）</v>
      </c>
      <c r="Q6" s="971" t="str">
        <f t="shared" si="0"/>
        <v>（土）</v>
      </c>
      <c r="R6" s="971" t="str">
        <f t="shared" si="0"/>
        <v>（日）</v>
      </c>
      <c r="S6" s="971" t="str">
        <f t="shared" si="0"/>
        <v>（月）</v>
      </c>
      <c r="T6" s="971" t="str">
        <f t="shared" si="0"/>
        <v>（火）</v>
      </c>
      <c r="U6" s="971" t="str">
        <f t="shared" si="0"/>
        <v>（水）</v>
      </c>
      <c r="V6" s="971" t="str">
        <f t="shared" si="0"/>
        <v>（木）</v>
      </c>
      <c r="W6" s="971" t="str">
        <f t="shared" si="0"/>
        <v>（金）</v>
      </c>
      <c r="X6" s="971" t="str">
        <f t="shared" si="0"/>
        <v>（土）</v>
      </c>
      <c r="Y6" s="971" t="str">
        <f t="shared" si="0"/>
        <v>（日）</v>
      </c>
      <c r="Z6" s="971" t="str">
        <f t="shared" si="0"/>
        <v>（月）</v>
      </c>
      <c r="AA6" s="971" t="str">
        <f t="shared" si="0"/>
        <v>（火）</v>
      </c>
      <c r="AB6" s="971" t="str">
        <f t="shared" si="0"/>
        <v>（水）</v>
      </c>
      <c r="AC6" s="971" t="str">
        <f t="shared" si="0"/>
        <v>（木）</v>
      </c>
      <c r="AD6" s="971" t="str">
        <f t="shared" si="0"/>
        <v>（金）</v>
      </c>
      <c r="AE6" s="971" t="str">
        <f t="shared" si="0"/>
        <v>（土）</v>
      </c>
      <c r="AF6" s="971" t="str">
        <f t="shared" si="0"/>
        <v>（日）</v>
      </c>
      <c r="AG6" s="971" t="str">
        <f t="shared" si="0"/>
        <v>（月）</v>
      </c>
      <c r="AH6" s="971" t="str">
        <f>IF(AH4&lt;&gt;"",HLOOKUP(WEEKDAY(DATE($AO$1,$AO$2,AH$4)),$AQ$1:$AW$2,2,FALSE),"")</f>
        <v>（火）</v>
      </c>
      <c r="AI6" s="971" t="str">
        <f>IF(AI4&lt;&gt;"",HLOOKUP(WEEKDAY(DATE($AO$1,$AO$2,AI$4)),$AQ$1:$AW$2,2,FALSE),"")</f>
        <v>（水）</v>
      </c>
      <c r="AJ6" s="971" t="str">
        <f>IF(AJ4&lt;&gt;"",HLOOKUP(WEEKDAY(DATE($AO$1,$AO$2,AJ$4)),$AQ$1:$AW$2,2,FALSE),"")</f>
        <v/>
      </c>
      <c r="AK6" s="2603"/>
      <c r="AL6" s="94"/>
      <c r="AM6" s="64"/>
      <c r="AN6" s="64"/>
      <c r="AP6" s="101"/>
    </row>
    <row r="7" spans="1:49" ht="15" customHeight="1">
      <c r="A7" s="91"/>
      <c r="B7" s="112">
        <f>ROW()-6</f>
        <v>1</v>
      </c>
      <c r="C7" s="369" t="str">
        <f>IFERROR(INDEX('【様式2】職員名簿 '!$B$44:$B$143,MATCH($B7,'【様式2】職員名簿 '!$P$44:$P$143,0),1),"")</f>
        <v/>
      </c>
      <c r="D7" s="2608" t="s">
        <v>446</v>
      </c>
      <c r="E7" s="2609"/>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370">
        <f>MIN(SUMIF($F$4:$AJ$4,"&gt;0",F7:AJ7),'【様式2】職員名簿 '!$G$5)</f>
        <v>0</v>
      </c>
      <c r="AL7" s="102"/>
      <c r="AM7" s="64"/>
      <c r="AP7" s="101"/>
    </row>
    <row r="8" spans="1:49" ht="15" customHeight="1">
      <c r="B8" s="114">
        <f t="shared" ref="B8:B106" si="1">ROW()-6</f>
        <v>2</v>
      </c>
      <c r="C8" s="371" t="str">
        <f>IFERROR(INDEX('【様式2】職員名簿 '!$B$44:$B$143,MATCH($B8,'【様式2】職員名簿 '!$P$44:$P$143,0),1),"")</f>
        <v/>
      </c>
      <c r="D8" s="2610" t="s">
        <v>446</v>
      </c>
      <c r="E8" s="2611"/>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372">
        <f>MIN(SUMIF($F$4:$AJ$4,"&gt;0",F8:AJ8),'【様式2】職員名簿 '!$G$5)</f>
        <v>0</v>
      </c>
    </row>
    <row r="9" spans="1:49" ht="15" customHeight="1">
      <c r="B9" s="114">
        <f t="shared" si="1"/>
        <v>3</v>
      </c>
      <c r="C9" s="371" t="str">
        <f>IFERROR(INDEX('【様式2】職員名簿 '!$B$44:$B$143,MATCH($B9,'【様式2】職員名簿 '!$P$44:$P$143,0),1),"")</f>
        <v/>
      </c>
      <c r="D9" s="2610" t="s">
        <v>446</v>
      </c>
      <c r="E9" s="2611"/>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372">
        <f>MIN(SUMIF($F$4:$AJ$4,"&gt;0",F9:AJ9),'【様式2】職員名簿 '!$G$5)</f>
        <v>0</v>
      </c>
    </row>
    <row r="10" spans="1:49" ht="15" customHeight="1">
      <c r="B10" s="114">
        <f t="shared" si="1"/>
        <v>4</v>
      </c>
      <c r="C10" s="371" t="str">
        <f>IFERROR(INDEX('【様式2】職員名簿 '!$B$44:$B$143,MATCH($B10,'【様式2】職員名簿 '!$P$44:$P$143,0),1),"")</f>
        <v/>
      </c>
      <c r="D10" s="2610" t="s">
        <v>446</v>
      </c>
      <c r="E10" s="2611"/>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372">
        <f>MIN(SUMIF($F$4:$AJ$4,"&gt;0",F10:AJ10),'【様式2】職員名簿 '!$G$5)</f>
        <v>0</v>
      </c>
    </row>
    <row r="11" spans="1:49" ht="15" customHeight="1">
      <c r="B11" s="114">
        <f t="shared" si="1"/>
        <v>5</v>
      </c>
      <c r="C11" s="371" t="str">
        <f>IFERROR(INDEX('【様式2】職員名簿 '!$B$44:$B$143,MATCH($B11,'【様式2】職員名簿 '!$P$44:$P$143,0),1),"")</f>
        <v/>
      </c>
      <c r="D11" s="2610" t="s">
        <v>446</v>
      </c>
      <c r="E11" s="2611"/>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372">
        <f>MIN(SUMIF($F$4:$AJ$4,"&gt;0",F11:AJ11),'【様式2】職員名簿 '!$G$5)</f>
        <v>0</v>
      </c>
    </row>
    <row r="12" spans="1:49" ht="15" customHeight="1">
      <c r="B12" s="114">
        <f t="shared" si="1"/>
        <v>6</v>
      </c>
      <c r="C12" s="371" t="str">
        <f>IFERROR(INDEX('【様式2】職員名簿 '!$B$44:$B$143,MATCH($B12,'【様式2】職員名簿 '!$P$44:$P$143,0),1),"")</f>
        <v/>
      </c>
      <c r="D12" s="2610" t="s">
        <v>446</v>
      </c>
      <c r="E12" s="2611"/>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372">
        <f>MIN(SUMIF($F$4:$AJ$4,"&gt;0",F12:AJ12),'【様式2】職員名簿 '!$G$5)</f>
        <v>0</v>
      </c>
    </row>
    <row r="13" spans="1:49" ht="15" customHeight="1">
      <c r="B13" s="114">
        <f t="shared" si="1"/>
        <v>7</v>
      </c>
      <c r="C13" s="371" t="str">
        <f>IFERROR(INDEX('【様式2】職員名簿 '!$B$44:$B$143,MATCH($B13,'【様式2】職員名簿 '!$P$44:$P$143,0),1),"")</f>
        <v/>
      </c>
      <c r="D13" s="2610" t="s">
        <v>446</v>
      </c>
      <c r="E13" s="2611"/>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372">
        <f>MIN(SUMIF($F$4:$AJ$4,"&gt;0",F13:AJ13),'【様式2】職員名簿 '!$G$5)</f>
        <v>0</v>
      </c>
    </row>
    <row r="14" spans="1:49" ht="15" customHeight="1">
      <c r="B14" s="114">
        <f t="shared" si="1"/>
        <v>8</v>
      </c>
      <c r="C14" s="371" t="str">
        <f>IFERROR(INDEX('【様式2】職員名簿 '!$B$44:$B$143,MATCH($B14,'【様式2】職員名簿 '!$P$44:$P$143,0),1),"")</f>
        <v/>
      </c>
      <c r="D14" s="2610" t="s">
        <v>446</v>
      </c>
      <c r="E14" s="2611"/>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372">
        <f>MIN(SUMIF($F$4:$AJ$4,"&gt;0",F14:AJ14),'【様式2】職員名簿 '!$G$5)</f>
        <v>0</v>
      </c>
    </row>
    <row r="15" spans="1:49" ht="15" customHeight="1">
      <c r="B15" s="114">
        <f t="shared" si="1"/>
        <v>9</v>
      </c>
      <c r="C15" s="371" t="str">
        <f>IFERROR(INDEX('【様式2】職員名簿 '!$B$44:$B$143,MATCH($B15,'【様式2】職員名簿 '!$P$44:$P$143,0),1),"")</f>
        <v/>
      </c>
      <c r="D15" s="2610" t="s">
        <v>446</v>
      </c>
      <c r="E15" s="2611"/>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372">
        <f>MIN(SUMIF($F$4:$AJ$4,"&gt;0",F15:AJ15),'【様式2】職員名簿 '!$G$5)</f>
        <v>0</v>
      </c>
    </row>
    <row r="16" spans="1:49" ht="15" customHeight="1">
      <c r="B16" s="114">
        <f t="shared" si="1"/>
        <v>10</v>
      </c>
      <c r="C16" s="371" t="str">
        <f>IFERROR(INDEX('【様式2】職員名簿 '!$B$44:$B$143,MATCH($B16,'【様式2】職員名簿 '!$P$44:$P$143,0),1),"")</f>
        <v/>
      </c>
      <c r="D16" s="2610" t="s">
        <v>446</v>
      </c>
      <c r="E16" s="2611"/>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372">
        <f>MIN(SUMIF($F$4:$AJ$4,"&gt;0",F16:AJ16),'【様式2】職員名簿 '!$G$5)</f>
        <v>0</v>
      </c>
    </row>
    <row r="17" spans="2:37" ht="15" customHeight="1">
      <c r="B17" s="114">
        <f t="shared" si="1"/>
        <v>11</v>
      </c>
      <c r="C17" s="371" t="str">
        <f>IFERROR(INDEX('【様式2】職員名簿 '!$B$44:$B$143,MATCH($B17,'【様式2】職員名簿 '!$P$44:$P$143,0),1),"")</f>
        <v/>
      </c>
      <c r="D17" s="2610" t="s">
        <v>446</v>
      </c>
      <c r="E17" s="2611"/>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372">
        <f>MIN(SUMIF($F$4:$AJ$4,"&gt;0",F17:AJ17),'【様式2】職員名簿 '!$G$5)</f>
        <v>0</v>
      </c>
    </row>
    <row r="18" spans="2:37" ht="15" customHeight="1">
      <c r="B18" s="114">
        <f t="shared" si="1"/>
        <v>12</v>
      </c>
      <c r="C18" s="371" t="str">
        <f>IFERROR(INDEX('【様式2】職員名簿 '!$B$44:$B$143,MATCH($B18,'【様式2】職員名簿 '!$P$44:$P$143,0),1),"")</f>
        <v/>
      </c>
      <c r="D18" s="2610" t="s">
        <v>446</v>
      </c>
      <c r="E18" s="2611"/>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372">
        <f>MIN(SUMIF($F$4:$AJ$4,"&gt;0",F18:AJ18),'【様式2】職員名簿 '!$G$5)</f>
        <v>0</v>
      </c>
    </row>
    <row r="19" spans="2:37" ht="15" customHeight="1">
      <c r="B19" s="114">
        <f t="shared" si="1"/>
        <v>13</v>
      </c>
      <c r="C19" s="371" t="str">
        <f>IFERROR(INDEX('【様式2】職員名簿 '!$B$44:$B$143,MATCH($B19,'【様式2】職員名簿 '!$P$44:$P$143,0),1),"")</f>
        <v/>
      </c>
      <c r="D19" s="2610" t="s">
        <v>446</v>
      </c>
      <c r="E19" s="2611"/>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372">
        <f>MIN(SUMIF($F$4:$AJ$4,"&gt;0",F19:AJ19),'【様式2】職員名簿 '!$G$5)</f>
        <v>0</v>
      </c>
    </row>
    <row r="20" spans="2:37" ht="15" customHeight="1">
      <c r="B20" s="114">
        <f t="shared" si="1"/>
        <v>14</v>
      </c>
      <c r="C20" s="371" t="str">
        <f>IFERROR(INDEX('【様式2】職員名簿 '!$B$44:$B$143,MATCH($B20,'【様式2】職員名簿 '!$P$44:$P$143,0),1),"")</f>
        <v/>
      </c>
      <c r="D20" s="2610" t="s">
        <v>446</v>
      </c>
      <c r="E20" s="2611"/>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372">
        <f>MIN(SUMIF($F$4:$AJ$4,"&gt;0",F20:AJ20),'【様式2】職員名簿 '!$G$5)</f>
        <v>0</v>
      </c>
    </row>
    <row r="21" spans="2:37" ht="15" customHeight="1">
      <c r="B21" s="114">
        <f t="shared" si="1"/>
        <v>15</v>
      </c>
      <c r="C21" s="371" t="str">
        <f>IFERROR(INDEX('【様式2】職員名簿 '!$B$44:$B$143,MATCH($B21,'【様式2】職員名簿 '!$P$44:$P$143,0),1),"")</f>
        <v/>
      </c>
      <c r="D21" s="2610" t="s">
        <v>446</v>
      </c>
      <c r="E21" s="2611"/>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372">
        <f>MIN(SUMIF($F$4:$AJ$4,"&gt;0",F21:AJ21),'【様式2】職員名簿 '!$G$5)</f>
        <v>0</v>
      </c>
    </row>
    <row r="22" spans="2:37" ht="15" customHeight="1">
      <c r="B22" s="114">
        <f t="shared" si="1"/>
        <v>16</v>
      </c>
      <c r="C22" s="371" t="str">
        <f>IFERROR(INDEX('【様式2】職員名簿 '!$B$44:$B$143,MATCH($B22,'【様式2】職員名簿 '!$P$44:$P$143,0),1),"")</f>
        <v/>
      </c>
      <c r="D22" s="2610" t="s">
        <v>446</v>
      </c>
      <c r="E22" s="2611"/>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372">
        <f>MIN(SUMIF($F$4:$AJ$4,"&gt;0",F22:AJ22),'【様式2】職員名簿 '!$G$5)</f>
        <v>0</v>
      </c>
    </row>
    <row r="23" spans="2:37" ht="15" customHeight="1">
      <c r="B23" s="114">
        <f t="shared" si="1"/>
        <v>17</v>
      </c>
      <c r="C23" s="371" t="str">
        <f>IFERROR(INDEX('【様式2】職員名簿 '!$B$44:$B$143,MATCH($B23,'【様式2】職員名簿 '!$P$44:$P$143,0),1),"")</f>
        <v/>
      </c>
      <c r="D23" s="2610" t="s">
        <v>446</v>
      </c>
      <c r="E23" s="2611"/>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372">
        <f>MIN(SUMIF($F$4:$AJ$4,"&gt;0",F23:AJ23),'【様式2】職員名簿 '!$G$5)</f>
        <v>0</v>
      </c>
    </row>
    <row r="24" spans="2:37" ht="15" customHeight="1">
      <c r="B24" s="114">
        <f t="shared" si="1"/>
        <v>18</v>
      </c>
      <c r="C24" s="371" t="str">
        <f>IFERROR(INDEX('【様式2】職員名簿 '!$B$44:$B$143,MATCH($B24,'【様式2】職員名簿 '!$P$44:$P$143,0),1),"")</f>
        <v/>
      </c>
      <c r="D24" s="2610" t="s">
        <v>446</v>
      </c>
      <c r="E24" s="2611"/>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372">
        <f>MIN(SUMIF($F$4:$AJ$4,"&gt;0",F24:AJ24),'【様式2】職員名簿 '!$G$5)</f>
        <v>0</v>
      </c>
    </row>
    <row r="25" spans="2:37" ht="15" customHeight="1">
      <c r="B25" s="114">
        <f t="shared" si="1"/>
        <v>19</v>
      </c>
      <c r="C25" s="371" t="str">
        <f>IFERROR(INDEX('【様式2】職員名簿 '!$B$44:$B$143,MATCH($B25,'【様式2】職員名簿 '!$P$44:$P$143,0),1),"")</f>
        <v/>
      </c>
      <c r="D25" s="2610" t="s">
        <v>446</v>
      </c>
      <c r="E25" s="2611"/>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372">
        <f>MIN(SUMIF($F$4:$AJ$4,"&gt;0",F25:AJ25),'【様式2】職員名簿 '!$G$5)</f>
        <v>0</v>
      </c>
    </row>
    <row r="26" spans="2:37" ht="15" customHeight="1">
      <c r="B26" s="114">
        <f t="shared" si="1"/>
        <v>20</v>
      </c>
      <c r="C26" s="371" t="str">
        <f>IFERROR(INDEX('【様式2】職員名簿 '!$B$44:$B$143,MATCH($B26,'【様式2】職員名簿 '!$P$44:$P$143,0),1),"")</f>
        <v/>
      </c>
      <c r="D26" s="2610" t="s">
        <v>446</v>
      </c>
      <c r="E26" s="2611"/>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372">
        <f>MIN(SUMIF($F$4:$AJ$4,"&gt;0",F26:AJ26),'【様式2】職員名簿 '!$G$5)</f>
        <v>0</v>
      </c>
    </row>
    <row r="27" spans="2:37" ht="15" customHeight="1">
      <c r="B27" s="114">
        <f t="shared" si="1"/>
        <v>21</v>
      </c>
      <c r="C27" s="371" t="str">
        <f>IFERROR(INDEX('【様式2】職員名簿 '!$B$44:$B$143,MATCH($B27,'【様式2】職員名簿 '!$P$44:$P$143,0),1),"")</f>
        <v/>
      </c>
      <c r="D27" s="2610" t="s">
        <v>446</v>
      </c>
      <c r="E27" s="2611"/>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372">
        <f>MIN(SUMIF($F$4:$AJ$4,"&gt;0",F27:AJ27),'【様式2】職員名簿 '!$G$5)</f>
        <v>0</v>
      </c>
    </row>
    <row r="28" spans="2:37" ht="15" customHeight="1">
      <c r="B28" s="114">
        <f t="shared" si="1"/>
        <v>22</v>
      </c>
      <c r="C28" s="371" t="str">
        <f>IFERROR(INDEX('【様式2】職員名簿 '!$B$44:$B$143,MATCH($B28,'【様式2】職員名簿 '!$P$44:$P$143,0),1),"")</f>
        <v/>
      </c>
      <c r="D28" s="2610" t="s">
        <v>446</v>
      </c>
      <c r="E28" s="2611"/>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372">
        <f>MIN(SUMIF($F$4:$AJ$4,"&gt;0",F28:AJ28),'【様式2】職員名簿 '!$G$5)</f>
        <v>0</v>
      </c>
    </row>
    <row r="29" spans="2:37" ht="15" customHeight="1">
      <c r="B29" s="114">
        <f t="shared" si="1"/>
        <v>23</v>
      </c>
      <c r="C29" s="371" t="str">
        <f>IFERROR(INDEX('【様式2】職員名簿 '!$B$44:$B$143,MATCH($B29,'【様式2】職員名簿 '!$P$44:$P$143,0),1),"")</f>
        <v/>
      </c>
      <c r="D29" s="2610" t="s">
        <v>446</v>
      </c>
      <c r="E29" s="2611"/>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372">
        <f>MIN(SUMIF($F$4:$AJ$4,"&gt;0",F29:AJ29),'【様式2】職員名簿 '!$G$5)</f>
        <v>0</v>
      </c>
    </row>
    <row r="30" spans="2:37" ht="15" customHeight="1">
      <c r="B30" s="114">
        <f t="shared" si="1"/>
        <v>24</v>
      </c>
      <c r="C30" s="371" t="str">
        <f>IFERROR(INDEX('【様式2】職員名簿 '!$B$44:$B$143,MATCH($B30,'【様式2】職員名簿 '!$P$44:$P$143,0),1),"")</f>
        <v/>
      </c>
      <c r="D30" s="2610" t="s">
        <v>446</v>
      </c>
      <c r="E30" s="2611"/>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372">
        <f>MIN(SUMIF($F$4:$AJ$4,"&gt;0",F30:AJ30),'【様式2】職員名簿 '!$G$5)</f>
        <v>0</v>
      </c>
    </row>
    <row r="31" spans="2:37" ht="15" customHeight="1">
      <c r="B31" s="114">
        <f t="shared" si="1"/>
        <v>25</v>
      </c>
      <c r="C31" s="371" t="str">
        <f>IFERROR(INDEX('【様式2】職員名簿 '!$B$44:$B$143,MATCH($B31,'【様式2】職員名簿 '!$P$44:$P$143,0),1),"")</f>
        <v/>
      </c>
      <c r="D31" s="2610" t="s">
        <v>446</v>
      </c>
      <c r="E31" s="2611"/>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372">
        <f>MIN(SUMIF($F$4:$AJ$4,"&gt;0",F31:AJ31),'【様式2】職員名簿 '!$G$5)</f>
        <v>0</v>
      </c>
    </row>
    <row r="32" spans="2:37" ht="15" customHeight="1">
      <c r="B32" s="114">
        <f t="shared" si="1"/>
        <v>26</v>
      </c>
      <c r="C32" s="371" t="str">
        <f>IFERROR(INDEX('【様式2】職員名簿 '!$B$44:$B$143,MATCH($B32,'【様式2】職員名簿 '!$P$44:$P$143,0),1),"")</f>
        <v/>
      </c>
      <c r="D32" s="2610" t="s">
        <v>446</v>
      </c>
      <c r="E32" s="2611"/>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372">
        <f>MIN(SUMIF($F$4:$AJ$4,"&gt;0",F32:AJ32),'【様式2】職員名簿 '!$G$5)</f>
        <v>0</v>
      </c>
    </row>
    <row r="33" spans="2:37" ht="15" customHeight="1">
      <c r="B33" s="114">
        <f t="shared" si="1"/>
        <v>27</v>
      </c>
      <c r="C33" s="371" t="str">
        <f>IFERROR(INDEX('【様式2】職員名簿 '!$B$44:$B$143,MATCH($B33,'【様式2】職員名簿 '!$P$44:$P$143,0),1),"")</f>
        <v/>
      </c>
      <c r="D33" s="2610" t="s">
        <v>446</v>
      </c>
      <c r="E33" s="2611"/>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372">
        <f>MIN(SUMIF($F$4:$AJ$4,"&gt;0",F33:AJ33),'【様式2】職員名簿 '!$G$5)</f>
        <v>0</v>
      </c>
    </row>
    <row r="34" spans="2:37" ht="15" customHeight="1">
      <c r="B34" s="114">
        <f t="shared" si="1"/>
        <v>28</v>
      </c>
      <c r="C34" s="371" t="str">
        <f>IFERROR(INDEX('【様式2】職員名簿 '!$B$44:$B$143,MATCH($B34,'【様式2】職員名簿 '!$P$44:$P$143,0),1),"")</f>
        <v/>
      </c>
      <c r="D34" s="2610" t="s">
        <v>446</v>
      </c>
      <c r="E34" s="2611"/>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372">
        <f>MIN(SUMIF($F$4:$AJ$4,"&gt;0",F34:AJ34),'【様式2】職員名簿 '!$G$5)</f>
        <v>0</v>
      </c>
    </row>
    <row r="35" spans="2:37" ht="15" customHeight="1">
      <c r="B35" s="114">
        <f t="shared" si="1"/>
        <v>29</v>
      </c>
      <c r="C35" s="371" t="str">
        <f>IFERROR(INDEX('【様式2】職員名簿 '!$B$44:$B$143,MATCH($B35,'【様式2】職員名簿 '!$P$44:$P$143,0),1),"")</f>
        <v/>
      </c>
      <c r="D35" s="2610" t="s">
        <v>446</v>
      </c>
      <c r="E35" s="2611"/>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372">
        <f>MIN(SUMIF($F$4:$AJ$4,"&gt;0",F35:AJ35),'【様式2】職員名簿 '!$G$5)</f>
        <v>0</v>
      </c>
    </row>
    <row r="36" spans="2:37" ht="15" customHeight="1">
      <c r="B36" s="114">
        <f t="shared" si="1"/>
        <v>30</v>
      </c>
      <c r="C36" s="371" t="str">
        <f>IFERROR(INDEX('【様式2】職員名簿 '!$B$44:$B$143,MATCH($B36,'【様式2】職員名簿 '!$P$44:$P$143,0),1),"")</f>
        <v/>
      </c>
      <c r="D36" s="2610" t="s">
        <v>446</v>
      </c>
      <c r="E36" s="2611"/>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372">
        <f>MIN(SUMIF($F$4:$AJ$4,"&gt;0",F36:AJ36),'【様式2】職員名簿 '!$G$5)</f>
        <v>0</v>
      </c>
    </row>
    <row r="37" spans="2:37" ht="15" customHeight="1">
      <c r="B37" s="114">
        <f t="shared" si="1"/>
        <v>31</v>
      </c>
      <c r="C37" s="371" t="str">
        <f>IFERROR(INDEX('【様式2】職員名簿 '!$B$44:$B$143,MATCH($B37,'【様式2】職員名簿 '!$P$44:$P$143,0),1),"")</f>
        <v/>
      </c>
      <c r="D37" s="2610" t="s">
        <v>446</v>
      </c>
      <c r="E37" s="2611"/>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372">
        <f>MIN(SUMIF($F$4:$AJ$4,"&gt;0",F37:AJ37),'【様式2】職員名簿 '!$G$5)</f>
        <v>0</v>
      </c>
    </row>
    <row r="38" spans="2:37" ht="15" customHeight="1">
      <c r="B38" s="114">
        <f t="shared" si="1"/>
        <v>32</v>
      </c>
      <c r="C38" s="371" t="str">
        <f>IFERROR(INDEX('【様式2】職員名簿 '!$B$44:$B$143,MATCH($B38,'【様式2】職員名簿 '!$P$44:$P$143,0),1),"")</f>
        <v/>
      </c>
      <c r="D38" s="2610" t="s">
        <v>446</v>
      </c>
      <c r="E38" s="2611"/>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372">
        <f>MIN(SUMIF($F$4:$AJ$4,"&gt;0",F38:AJ38),'【様式2】職員名簿 '!$G$5)</f>
        <v>0</v>
      </c>
    </row>
    <row r="39" spans="2:37" ht="15" customHeight="1">
      <c r="B39" s="114">
        <f t="shared" si="1"/>
        <v>33</v>
      </c>
      <c r="C39" s="371" t="str">
        <f>IFERROR(INDEX('【様式2】職員名簿 '!$B$44:$B$143,MATCH($B39,'【様式2】職員名簿 '!$P$44:$P$143,0),1),"")</f>
        <v/>
      </c>
      <c r="D39" s="2610" t="s">
        <v>446</v>
      </c>
      <c r="E39" s="2611"/>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372">
        <f>MIN(SUMIF($F$4:$AJ$4,"&gt;0",F39:AJ39),'【様式2】職員名簿 '!$G$5)</f>
        <v>0</v>
      </c>
    </row>
    <row r="40" spans="2:37" ht="15" customHeight="1">
      <c r="B40" s="114">
        <f t="shared" si="1"/>
        <v>34</v>
      </c>
      <c r="C40" s="371" t="str">
        <f>IFERROR(INDEX('【様式2】職員名簿 '!$B$44:$B$143,MATCH($B40,'【様式2】職員名簿 '!$P$44:$P$143,0),1),"")</f>
        <v/>
      </c>
      <c r="D40" s="2610" t="s">
        <v>446</v>
      </c>
      <c r="E40" s="2611"/>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372">
        <f>MIN(SUMIF($F$4:$AJ$4,"&gt;0",F40:AJ40),'【様式2】職員名簿 '!$G$5)</f>
        <v>0</v>
      </c>
    </row>
    <row r="41" spans="2:37" ht="15" customHeight="1">
      <c r="B41" s="114">
        <f t="shared" si="1"/>
        <v>35</v>
      </c>
      <c r="C41" s="371" t="str">
        <f>IFERROR(INDEX('【様式2】職員名簿 '!$B$44:$B$143,MATCH($B41,'【様式2】職員名簿 '!$P$44:$P$143,0),1),"")</f>
        <v/>
      </c>
      <c r="D41" s="2610" t="s">
        <v>446</v>
      </c>
      <c r="E41" s="2611"/>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372">
        <f>MIN(SUMIF($F$4:$AJ$4,"&gt;0",F41:AJ41),'【様式2】職員名簿 '!$G$5)</f>
        <v>0</v>
      </c>
    </row>
    <row r="42" spans="2:37" ht="15" customHeight="1">
      <c r="B42" s="114">
        <f t="shared" si="1"/>
        <v>36</v>
      </c>
      <c r="C42" s="371" t="str">
        <f>IFERROR(INDEX('【様式2】職員名簿 '!$B$44:$B$143,MATCH($B42,'【様式2】職員名簿 '!$P$44:$P$143,0),1),"")</f>
        <v/>
      </c>
      <c r="D42" s="2610" t="s">
        <v>446</v>
      </c>
      <c r="E42" s="2611"/>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372">
        <f>MIN(SUMIF($F$4:$AJ$4,"&gt;0",F42:AJ42),'【様式2】職員名簿 '!$G$5)</f>
        <v>0</v>
      </c>
    </row>
    <row r="43" spans="2:37" ht="15" customHeight="1">
      <c r="B43" s="114">
        <f t="shared" si="1"/>
        <v>37</v>
      </c>
      <c r="C43" s="371" t="str">
        <f>IFERROR(INDEX('【様式2】職員名簿 '!$B$44:$B$143,MATCH($B43,'【様式2】職員名簿 '!$P$44:$P$143,0),1),"")</f>
        <v/>
      </c>
      <c r="D43" s="2610" t="s">
        <v>446</v>
      </c>
      <c r="E43" s="2611"/>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372">
        <f>MIN(SUMIF($F$4:$AJ$4,"&gt;0",F43:AJ43),'【様式2】職員名簿 '!$G$5)</f>
        <v>0</v>
      </c>
    </row>
    <row r="44" spans="2:37" ht="15" customHeight="1">
      <c r="B44" s="114">
        <f t="shared" si="1"/>
        <v>38</v>
      </c>
      <c r="C44" s="371" t="str">
        <f>IFERROR(INDEX('【様式2】職員名簿 '!$B$44:$B$143,MATCH($B44,'【様式2】職員名簿 '!$P$44:$P$143,0),1),"")</f>
        <v/>
      </c>
      <c r="D44" s="2610" t="s">
        <v>446</v>
      </c>
      <c r="E44" s="2611"/>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372">
        <f>MIN(SUMIF($F$4:$AJ$4,"&gt;0",F44:AJ44),'【様式2】職員名簿 '!$G$5)</f>
        <v>0</v>
      </c>
    </row>
    <row r="45" spans="2:37" ht="15" customHeight="1">
      <c r="B45" s="114">
        <f t="shared" si="1"/>
        <v>39</v>
      </c>
      <c r="C45" s="371" t="str">
        <f>IFERROR(INDEX('【様式2】職員名簿 '!$B$44:$B$143,MATCH($B45,'【様式2】職員名簿 '!$P$44:$P$143,0),1),"")</f>
        <v/>
      </c>
      <c r="D45" s="2610" t="s">
        <v>446</v>
      </c>
      <c r="E45" s="2611"/>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372">
        <f>MIN(SUMIF($F$4:$AJ$4,"&gt;0",F45:AJ45),'【様式2】職員名簿 '!$G$5)</f>
        <v>0</v>
      </c>
    </row>
    <row r="46" spans="2:37" ht="15" customHeight="1">
      <c r="B46" s="114">
        <f t="shared" si="1"/>
        <v>40</v>
      </c>
      <c r="C46" s="371" t="str">
        <f>IFERROR(INDEX('【様式2】職員名簿 '!$B$44:$B$143,MATCH($B46,'【様式2】職員名簿 '!$P$44:$P$143,0),1),"")</f>
        <v/>
      </c>
      <c r="D46" s="2610" t="s">
        <v>446</v>
      </c>
      <c r="E46" s="2611"/>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372">
        <f>MIN(SUMIF($F$4:$AJ$4,"&gt;0",F46:AJ46),'【様式2】職員名簿 '!$G$5)</f>
        <v>0</v>
      </c>
    </row>
    <row r="47" spans="2:37" ht="15" customHeight="1">
      <c r="B47" s="114">
        <f t="shared" si="1"/>
        <v>41</v>
      </c>
      <c r="C47" s="371" t="str">
        <f>IFERROR(INDEX('【様式2】職員名簿 '!$B$44:$B$143,MATCH($B47,'【様式2】職員名簿 '!$P$44:$P$143,0),1),"")</f>
        <v/>
      </c>
      <c r="D47" s="2610" t="s">
        <v>446</v>
      </c>
      <c r="E47" s="2611"/>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372">
        <f>MIN(SUMIF($F$4:$AJ$4,"&gt;0",F47:AJ47),'【様式2】職員名簿 '!$G$5)</f>
        <v>0</v>
      </c>
    </row>
    <row r="48" spans="2:37" ht="15" customHeight="1">
      <c r="B48" s="114">
        <f t="shared" si="1"/>
        <v>42</v>
      </c>
      <c r="C48" s="371" t="str">
        <f>IFERROR(INDEX('【様式2】職員名簿 '!$B$44:$B$143,MATCH($B48,'【様式2】職員名簿 '!$P$44:$P$143,0),1),"")</f>
        <v/>
      </c>
      <c r="D48" s="2610" t="s">
        <v>446</v>
      </c>
      <c r="E48" s="2611"/>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372">
        <f>MIN(SUMIF($F$4:$AJ$4,"&gt;0",F48:AJ48),'【様式2】職員名簿 '!$G$5)</f>
        <v>0</v>
      </c>
    </row>
    <row r="49" spans="2:37" ht="15" customHeight="1">
      <c r="B49" s="114">
        <f t="shared" si="1"/>
        <v>43</v>
      </c>
      <c r="C49" s="371" t="str">
        <f>IFERROR(INDEX('【様式2】職員名簿 '!$B$44:$B$143,MATCH($B49,'【様式2】職員名簿 '!$P$44:$P$143,0),1),"")</f>
        <v/>
      </c>
      <c r="D49" s="2610" t="s">
        <v>446</v>
      </c>
      <c r="E49" s="2611"/>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372">
        <f>MIN(SUMIF($F$4:$AJ$4,"&gt;0",F49:AJ49),'【様式2】職員名簿 '!$G$5)</f>
        <v>0</v>
      </c>
    </row>
    <row r="50" spans="2:37" ht="15" customHeight="1">
      <c r="B50" s="114">
        <f t="shared" si="1"/>
        <v>44</v>
      </c>
      <c r="C50" s="371" t="str">
        <f>IFERROR(INDEX('【様式2】職員名簿 '!$B$44:$B$143,MATCH($B50,'【様式2】職員名簿 '!$P$44:$P$143,0),1),"")</f>
        <v/>
      </c>
      <c r="D50" s="2610" t="s">
        <v>446</v>
      </c>
      <c r="E50" s="2611"/>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372">
        <f>MIN(SUMIF($F$4:$AJ$4,"&gt;0",F50:AJ50),'【様式2】職員名簿 '!$G$5)</f>
        <v>0</v>
      </c>
    </row>
    <row r="51" spans="2:37" ht="15" customHeight="1">
      <c r="B51" s="114">
        <f t="shared" si="1"/>
        <v>45</v>
      </c>
      <c r="C51" s="371" t="str">
        <f>IFERROR(INDEX('【様式2】職員名簿 '!$B$44:$B$143,MATCH($B51,'【様式2】職員名簿 '!$P$44:$P$143,0),1),"")</f>
        <v/>
      </c>
      <c r="D51" s="2610" t="s">
        <v>446</v>
      </c>
      <c r="E51" s="2611"/>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372">
        <f>MIN(SUMIF($F$4:$AJ$4,"&gt;0",F51:AJ51),'【様式2】職員名簿 '!$G$5)</f>
        <v>0</v>
      </c>
    </row>
    <row r="52" spans="2:37" ht="15" customHeight="1">
      <c r="B52" s="114">
        <f t="shared" si="1"/>
        <v>46</v>
      </c>
      <c r="C52" s="371" t="str">
        <f>IFERROR(INDEX('【様式2】職員名簿 '!$B$44:$B$143,MATCH($B52,'【様式2】職員名簿 '!$P$44:$P$143,0),1),"")</f>
        <v/>
      </c>
      <c r="D52" s="2610" t="s">
        <v>446</v>
      </c>
      <c r="E52" s="2611"/>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372">
        <f>MIN(SUMIF($F$4:$AJ$4,"&gt;0",F52:AJ52),'【様式2】職員名簿 '!$G$5)</f>
        <v>0</v>
      </c>
    </row>
    <row r="53" spans="2:37" ht="15" customHeight="1">
      <c r="B53" s="114">
        <f t="shared" si="1"/>
        <v>47</v>
      </c>
      <c r="C53" s="371" t="str">
        <f>IFERROR(INDEX('【様式2】職員名簿 '!$B$44:$B$143,MATCH($B53,'【様式2】職員名簿 '!$P$44:$P$143,0),1),"")</f>
        <v/>
      </c>
      <c r="D53" s="2610" t="s">
        <v>446</v>
      </c>
      <c r="E53" s="2611"/>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372">
        <f>MIN(SUMIF($F$4:$AJ$4,"&gt;0",F53:AJ53),'【様式2】職員名簿 '!$G$5)</f>
        <v>0</v>
      </c>
    </row>
    <row r="54" spans="2:37" ht="15" customHeight="1">
      <c r="B54" s="114">
        <f t="shared" si="1"/>
        <v>48</v>
      </c>
      <c r="C54" s="371" t="str">
        <f>IFERROR(INDEX('【様式2】職員名簿 '!$B$44:$B$143,MATCH($B54,'【様式2】職員名簿 '!$P$44:$P$143,0),1),"")</f>
        <v/>
      </c>
      <c r="D54" s="2610" t="s">
        <v>446</v>
      </c>
      <c r="E54" s="2611"/>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372">
        <f>MIN(SUMIF($F$4:$AJ$4,"&gt;0",F54:AJ54),'【様式2】職員名簿 '!$G$5)</f>
        <v>0</v>
      </c>
    </row>
    <row r="55" spans="2:37" ht="15" customHeight="1">
      <c r="B55" s="114">
        <f t="shared" si="1"/>
        <v>49</v>
      </c>
      <c r="C55" s="371" t="str">
        <f>IFERROR(INDEX('【様式2】職員名簿 '!$B$44:$B$143,MATCH($B55,'【様式2】職員名簿 '!$P$44:$P$143,0),1),"")</f>
        <v/>
      </c>
      <c r="D55" s="2610" t="s">
        <v>446</v>
      </c>
      <c r="E55" s="2611"/>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372">
        <f>MIN(SUMIF($F$4:$AJ$4,"&gt;0",F55:AJ55),'【様式2】職員名簿 '!$G$5)</f>
        <v>0</v>
      </c>
    </row>
    <row r="56" spans="2:37" ht="15" customHeight="1">
      <c r="B56" s="114">
        <f t="shared" si="1"/>
        <v>50</v>
      </c>
      <c r="C56" s="371" t="str">
        <f>IFERROR(INDEX('【様式2】職員名簿 '!$B$44:$B$143,MATCH($B56,'【様式2】職員名簿 '!$P$44:$P$143,0),1),"")</f>
        <v/>
      </c>
      <c r="D56" s="2610" t="s">
        <v>446</v>
      </c>
      <c r="E56" s="2611"/>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372">
        <f>MIN(SUMIF($F$4:$AJ$4,"&gt;0",F56:AJ56),'【様式2】職員名簿 '!$G$5)</f>
        <v>0</v>
      </c>
    </row>
    <row r="57" spans="2:37" ht="15" customHeight="1">
      <c r="B57" s="114">
        <f t="shared" si="1"/>
        <v>51</v>
      </c>
      <c r="C57" s="371" t="str">
        <f>IFERROR(INDEX('【様式2】職員名簿 '!$B$44:$B$143,MATCH($B57,'【様式2】職員名簿 '!$P$44:$P$143,0),1),"")</f>
        <v/>
      </c>
      <c r="D57" s="2610" t="s">
        <v>446</v>
      </c>
      <c r="E57" s="2611"/>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372">
        <f>MIN(SUMIF($F$4:$AJ$4,"&gt;0",F57:AJ57),'【様式2】職員名簿 '!$G$5)</f>
        <v>0</v>
      </c>
    </row>
    <row r="58" spans="2:37" ht="15" customHeight="1">
      <c r="B58" s="114">
        <f t="shared" si="1"/>
        <v>52</v>
      </c>
      <c r="C58" s="371" t="str">
        <f>IFERROR(INDEX('【様式2】職員名簿 '!$B$44:$B$143,MATCH($B58,'【様式2】職員名簿 '!$P$44:$P$143,0),1),"")</f>
        <v/>
      </c>
      <c r="D58" s="2610" t="s">
        <v>446</v>
      </c>
      <c r="E58" s="2611"/>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372">
        <f>MIN(SUMIF($F$4:$AJ$4,"&gt;0",F58:AJ58),'【様式2】職員名簿 '!$G$5)</f>
        <v>0</v>
      </c>
    </row>
    <row r="59" spans="2:37" ht="15" customHeight="1">
      <c r="B59" s="114">
        <f t="shared" si="1"/>
        <v>53</v>
      </c>
      <c r="C59" s="371" t="str">
        <f>IFERROR(INDEX('【様式2】職員名簿 '!$B$44:$B$143,MATCH($B59,'【様式2】職員名簿 '!$P$44:$P$143,0),1),"")</f>
        <v/>
      </c>
      <c r="D59" s="2610" t="s">
        <v>446</v>
      </c>
      <c r="E59" s="2611"/>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372">
        <f>MIN(SUMIF($F$4:$AJ$4,"&gt;0",F59:AJ59),'【様式2】職員名簿 '!$G$5)</f>
        <v>0</v>
      </c>
    </row>
    <row r="60" spans="2:37" ht="15" customHeight="1">
      <c r="B60" s="114">
        <f t="shared" si="1"/>
        <v>54</v>
      </c>
      <c r="C60" s="371" t="str">
        <f>IFERROR(INDEX('【様式2】職員名簿 '!$B$44:$B$143,MATCH($B60,'【様式2】職員名簿 '!$P$44:$P$143,0),1),"")</f>
        <v/>
      </c>
      <c r="D60" s="2610" t="s">
        <v>446</v>
      </c>
      <c r="E60" s="2611"/>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372">
        <f>MIN(SUMIF($F$4:$AJ$4,"&gt;0",F60:AJ60),'【様式2】職員名簿 '!$G$5)</f>
        <v>0</v>
      </c>
    </row>
    <row r="61" spans="2:37" ht="15" customHeight="1">
      <c r="B61" s="114">
        <f t="shared" si="1"/>
        <v>55</v>
      </c>
      <c r="C61" s="371" t="str">
        <f>IFERROR(INDEX('【様式2】職員名簿 '!$B$44:$B$143,MATCH($B61,'【様式2】職員名簿 '!$P$44:$P$143,0),1),"")</f>
        <v/>
      </c>
      <c r="D61" s="2610" t="s">
        <v>446</v>
      </c>
      <c r="E61" s="2611"/>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372">
        <f>MIN(SUMIF($F$4:$AJ$4,"&gt;0",F61:AJ61),'【様式2】職員名簿 '!$G$5)</f>
        <v>0</v>
      </c>
    </row>
    <row r="62" spans="2:37" ht="15" customHeight="1">
      <c r="B62" s="114">
        <f t="shared" si="1"/>
        <v>56</v>
      </c>
      <c r="C62" s="371" t="str">
        <f>IFERROR(INDEX('【様式2】職員名簿 '!$B$44:$B$143,MATCH($B62,'【様式2】職員名簿 '!$P$44:$P$143,0),1),"")</f>
        <v/>
      </c>
      <c r="D62" s="2610" t="s">
        <v>446</v>
      </c>
      <c r="E62" s="2611"/>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372">
        <f>MIN(SUMIF($F$4:$AJ$4,"&gt;0",F62:AJ62),'【様式2】職員名簿 '!$G$5)</f>
        <v>0</v>
      </c>
    </row>
    <row r="63" spans="2:37" ht="15" customHeight="1">
      <c r="B63" s="114">
        <f t="shared" si="1"/>
        <v>57</v>
      </c>
      <c r="C63" s="371" t="str">
        <f>IFERROR(INDEX('【様式2】職員名簿 '!$B$44:$B$143,MATCH($B63,'【様式2】職員名簿 '!$P$44:$P$143,0),1),"")</f>
        <v/>
      </c>
      <c r="D63" s="2610" t="s">
        <v>446</v>
      </c>
      <c r="E63" s="2611"/>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372">
        <f>MIN(SUMIF($F$4:$AJ$4,"&gt;0",F63:AJ63),'【様式2】職員名簿 '!$G$5)</f>
        <v>0</v>
      </c>
    </row>
    <row r="64" spans="2:37" ht="15" customHeight="1">
      <c r="B64" s="114">
        <f t="shared" si="1"/>
        <v>58</v>
      </c>
      <c r="C64" s="371" t="str">
        <f>IFERROR(INDEX('【様式2】職員名簿 '!$B$44:$B$143,MATCH($B64,'【様式2】職員名簿 '!$P$44:$P$143,0),1),"")</f>
        <v/>
      </c>
      <c r="D64" s="2610" t="s">
        <v>446</v>
      </c>
      <c r="E64" s="2611"/>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372">
        <f>MIN(SUMIF($F$4:$AJ$4,"&gt;0",F64:AJ64),'【様式2】職員名簿 '!$G$5)</f>
        <v>0</v>
      </c>
    </row>
    <row r="65" spans="2:37" ht="15" customHeight="1">
      <c r="B65" s="114">
        <f t="shared" si="1"/>
        <v>59</v>
      </c>
      <c r="C65" s="371" t="str">
        <f>IFERROR(INDEX('【様式2】職員名簿 '!$B$44:$B$143,MATCH($B65,'【様式2】職員名簿 '!$P$44:$P$143,0),1),"")</f>
        <v/>
      </c>
      <c r="D65" s="2610" t="s">
        <v>446</v>
      </c>
      <c r="E65" s="2611"/>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372">
        <f>MIN(SUMIF($F$4:$AJ$4,"&gt;0",F65:AJ65),'【様式2】職員名簿 '!$G$5)</f>
        <v>0</v>
      </c>
    </row>
    <row r="66" spans="2:37" ht="15" customHeight="1">
      <c r="B66" s="114">
        <f t="shared" si="1"/>
        <v>60</v>
      </c>
      <c r="C66" s="371" t="str">
        <f>IFERROR(INDEX('【様式2】職員名簿 '!$B$44:$B$143,MATCH($B66,'【様式2】職員名簿 '!$P$44:$P$143,0),1),"")</f>
        <v/>
      </c>
      <c r="D66" s="2610" t="s">
        <v>446</v>
      </c>
      <c r="E66" s="2611"/>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372">
        <f>MIN(SUMIF($F$4:$AJ$4,"&gt;0",F66:AJ66),'【様式2】職員名簿 '!$G$5)</f>
        <v>0</v>
      </c>
    </row>
    <row r="67" spans="2:37" ht="15" customHeight="1">
      <c r="B67" s="114">
        <f t="shared" si="1"/>
        <v>61</v>
      </c>
      <c r="C67" s="371" t="str">
        <f>IFERROR(INDEX('【様式2】職員名簿 '!$B$44:$B$143,MATCH($B67,'【様式2】職員名簿 '!$P$44:$P$143,0),1),"")</f>
        <v/>
      </c>
      <c r="D67" s="2610" t="s">
        <v>446</v>
      </c>
      <c r="E67" s="2611"/>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372">
        <f>MIN(SUMIF($F$4:$AJ$4,"&gt;0",F67:AJ67),'【様式2】職員名簿 '!$G$5)</f>
        <v>0</v>
      </c>
    </row>
    <row r="68" spans="2:37" ht="15" customHeight="1">
      <c r="B68" s="114">
        <f t="shared" si="1"/>
        <v>62</v>
      </c>
      <c r="C68" s="371" t="str">
        <f>IFERROR(INDEX('【様式2】職員名簿 '!$B$44:$B$143,MATCH($B68,'【様式2】職員名簿 '!$P$44:$P$143,0),1),"")</f>
        <v/>
      </c>
      <c r="D68" s="2610" t="s">
        <v>446</v>
      </c>
      <c r="E68" s="2611"/>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372">
        <f>MIN(SUMIF($F$4:$AJ$4,"&gt;0",F68:AJ68),'【様式2】職員名簿 '!$G$5)</f>
        <v>0</v>
      </c>
    </row>
    <row r="69" spans="2:37" ht="15" customHeight="1">
      <c r="B69" s="114">
        <f t="shared" si="1"/>
        <v>63</v>
      </c>
      <c r="C69" s="371" t="str">
        <f>IFERROR(INDEX('【様式2】職員名簿 '!$B$44:$B$143,MATCH($B69,'【様式2】職員名簿 '!$P$44:$P$143,0),1),"")</f>
        <v/>
      </c>
      <c r="D69" s="2610" t="s">
        <v>446</v>
      </c>
      <c r="E69" s="2611"/>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372">
        <f>MIN(SUMIF($F$4:$AJ$4,"&gt;0",F69:AJ69),'【様式2】職員名簿 '!$G$5)</f>
        <v>0</v>
      </c>
    </row>
    <row r="70" spans="2:37" ht="15" customHeight="1">
      <c r="B70" s="114">
        <f t="shared" si="1"/>
        <v>64</v>
      </c>
      <c r="C70" s="371" t="str">
        <f>IFERROR(INDEX('【様式2】職員名簿 '!$B$44:$B$143,MATCH($B70,'【様式2】職員名簿 '!$P$44:$P$143,0),1),"")</f>
        <v/>
      </c>
      <c r="D70" s="2610" t="s">
        <v>446</v>
      </c>
      <c r="E70" s="2611"/>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372">
        <f>MIN(SUMIF($F$4:$AJ$4,"&gt;0",F70:AJ70),'【様式2】職員名簿 '!$G$5)</f>
        <v>0</v>
      </c>
    </row>
    <row r="71" spans="2:37" ht="15" customHeight="1">
      <c r="B71" s="114">
        <f t="shared" si="1"/>
        <v>65</v>
      </c>
      <c r="C71" s="371" t="str">
        <f>IFERROR(INDEX('【様式2】職員名簿 '!$B$44:$B$143,MATCH($B71,'【様式2】職員名簿 '!$P$44:$P$143,0),1),"")</f>
        <v/>
      </c>
      <c r="D71" s="2610" t="s">
        <v>446</v>
      </c>
      <c r="E71" s="2611"/>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372">
        <f>MIN(SUMIF($F$4:$AJ$4,"&gt;0",F71:AJ71),'【様式2】職員名簿 '!$G$5)</f>
        <v>0</v>
      </c>
    </row>
    <row r="72" spans="2:37" ht="15" customHeight="1">
      <c r="B72" s="114">
        <f t="shared" si="1"/>
        <v>66</v>
      </c>
      <c r="C72" s="371" t="str">
        <f>IFERROR(INDEX('【様式2】職員名簿 '!$B$44:$B$143,MATCH($B72,'【様式2】職員名簿 '!$P$44:$P$143,0),1),"")</f>
        <v/>
      </c>
      <c r="D72" s="2610" t="s">
        <v>446</v>
      </c>
      <c r="E72" s="2611"/>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372">
        <f>MIN(SUMIF($F$4:$AJ$4,"&gt;0",F72:AJ72),'【様式2】職員名簿 '!$G$5)</f>
        <v>0</v>
      </c>
    </row>
    <row r="73" spans="2:37" ht="15" customHeight="1">
      <c r="B73" s="114">
        <f t="shared" si="1"/>
        <v>67</v>
      </c>
      <c r="C73" s="371" t="str">
        <f>IFERROR(INDEX('【様式2】職員名簿 '!$B$44:$B$143,MATCH($B73,'【様式2】職員名簿 '!$P$44:$P$143,0),1),"")</f>
        <v/>
      </c>
      <c r="D73" s="2610" t="s">
        <v>446</v>
      </c>
      <c r="E73" s="2611"/>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372">
        <f>MIN(SUMIF($F$4:$AJ$4,"&gt;0",F73:AJ73),'【様式2】職員名簿 '!$G$5)</f>
        <v>0</v>
      </c>
    </row>
    <row r="74" spans="2:37" ht="15" customHeight="1">
      <c r="B74" s="114">
        <f t="shared" si="1"/>
        <v>68</v>
      </c>
      <c r="C74" s="371" t="str">
        <f>IFERROR(INDEX('【様式2】職員名簿 '!$B$44:$B$143,MATCH($B74,'【様式2】職員名簿 '!$P$44:$P$143,0),1),"")</f>
        <v/>
      </c>
      <c r="D74" s="2610" t="s">
        <v>446</v>
      </c>
      <c r="E74" s="2611"/>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372">
        <f>MIN(SUMIF($F$4:$AJ$4,"&gt;0",F74:AJ74),'【様式2】職員名簿 '!$G$5)</f>
        <v>0</v>
      </c>
    </row>
    <row r="75" spans="2:37" ht="15" customHeight="1">
      <c r="B75" s="114">
        <f t="shared" si="1"/>
        <v>69</v>
      </c>
      <c r="C75" s="371" t="str">
        <f>IFERROR(INDEX('【様式2】職員名簿 '!$B$44:$B$143,MATCH($B75,'【様式2】職員名簿 '!$P$44:$P$143,0),1),"")</f>
        <v/>
      </c>
      <c r="D75" s="2610" t="s">
        <v>446</v>
      </c>
      <c r="E75" s="2611"/>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372">
        <f>MIN(SUMIF($F$4:$AJ$4,"&gt;0",F75:AJ75),'【様式2】職員名簿 '!$G$5)</f>
        <v>0</v>
      </c>
    </row>
    <row r="76" spans="2:37" ht="15" customHeight="1">
      <c r="B76" s="114">
        <f t="shared" si="1"/>
        <v>70</v>
      </c>
      <c r="C76" s="371" t="str">
        <f>IFERROR(INDEX('【様式2】職員名簿 '!$B$44:$B$143,MATCH($B76,'【様式2】職員名簿 '!$P$44:$P$143,0),1),"")</f>
        <v/>
      </c>
      <c r="D76" s="2610" t="s">
        <v>446</v>
      </c>
      <c r="E76" s="2611"/>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372">
        <f>MIN(SUMIF($F$4:$AJ$4,"&gt;0",F76:AJ76),'【様式2】職員名簿 '!$G$5)</f>
        <v>0</v>
      </c>
    </row>
    <row r="77" spans="2:37" ht="15" customHeight="1">
      <c r="B77" s="114">
        <f t="shared" si="1"/>
        <v>71</v>
      </c>
      <c r="C77" s="371" t="str">
        <f>IFERROR(INDEX('【様式2】職員名簿 '!$B$44:$B$143,MATCH($B77,'【様式2】職員名簿 '!$P$44:$P$143,0),1),"")</f>
        <v/>
      </c>
      <c r="D77" s="2610" t="s">
        <v>446</v>
      </c>
      <c r="E77" s="2611"/>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372">
        <f>MIN(SUMIF($F$4:$AJ$4,"&gt;0",F77:AJ77),'【様式2】職員名簿 '!$G$5)</f>
        <v>0</v>
      </c>
    </row>
    <row r="78" spans="2:37" ht="15" customHeight="1">
      <c r="B78" s="114">
        <f t="shared" si="1"/>
        <v>72</v>
      </c>
      <c r="C78" s="371" t="str">
        <f>IFERROR(INDEX('【様式2】職員名簿 '!$B$44:$B$143,MATCH($B78,'【様式2】職員名簿 '!$P$44:$P$143,0),1),"")</f>
        <v/>
      </c>
      <c r="D78" s="2610" t="s">
        <v>446</v>
      </c>
      <c r="E78" s="2611"/>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372">
        <f>MIN(SUMIF($F$4:$AJ$4,"&gt;0",F78:AJ78),'【様式2】職員名簿 '!$G$5)</f>
        <v>0</v>
      </c>
    </row>
    <row r="79" spans="2:37" ht="15" customHeight="1">
      <c r="B79" s="114">
        <f t="shared" si="1"/>
        <v>73</v>
      </c>
      <c r="C79" s="371" t="str">
        <f>IFERROR(INDEX('【様式2】職員名簿 '!$B$44:$B$143,MATCH($B79,'【様式2】職員名簿 '!$P$44:$P$143,0),1),"")</f>
        <v/>
      </c>
      <c r="D79" s="2610" t="s">
        <v>446</v>
      </c>
      <c r="E79" s="2611"/>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372">
        <f>MIN(SUMIF($F$4:$AJ$4,"&gt;0",F79:AJ79),'【様式2】職員名簿 '!$G$5)</f>
        <v>0</v>
      </c>
    </row>
    <row r="80" spans="2:37" ht="15" customHeight="1">
      <c r="B80" s="114">
        <f t="shared" si="1"/>
        <v>74</v>
      </c>
      <c r="C80" s="371" t="str">
        <f>IFERROR(INDEX('【様式2】職員名簿 '!$B$44:$B$143,MATCH($B80,'【様式2】職員名簿 '!$P$44:$P$143,0),1),"")</f>
        <v/>
      </c>
      <c r="D80" s="2610" t="s">
        <v>446</v>
      </c>
      <c r="E80" s="2611"/>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372">
        <f>MIN(SUMIF($F$4:$AJ$4,"&gt;0",F80:AJ80),'【様式2】職員名簿 '!$G$5)</f>
        <v>0</v>
      </c>
    </row>
    <row r="81" spans="2:37" ht="15" customHeight="1">
      <c r="B81" s="114">
        <f t="shared" si="1"/>
        <v>75</v>
      </c>
      <c r="C81" s="371" t="str">
        <f>IFERROR(INDEX('【様式2】職員名簿 '!$B$44:$B$143,MATCH($B81,'【様式2】職員名簿 '!$P$44:$P$143,0),1),"")</f>
        <v/>
      </c>
      <c r="D81" s="2610" t="s">
        <v>446</v>
      </c>
      <c r="E81" s="2611"/>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372">
        <f>MIN(SUMIF($F$4:$AJ$4,"&gt;0",F81:AJ81),'【様式2】職員名簿 '!$G$5)</f>
        <v>0</v>
      </c>
    </row>
    <row r="82" spans="2:37" ht="15" customHeight="1">
      <c r="B82" s="114">
        <f t="shared" si="1"/>
        <v>76</v>
      </c>
      <c r="C82" s="371" t="str">
        <f>IFERROR(INDEX('【様式2】職員名簿 '!$B$44:$B$143,MATCH($B82,'【様式2】職員名簿 '!$P$44:$P$143,0),1),"")</f>
        <v/>
      </c>
      <c r="D82" s="2610" t="s">
        <v>446</v>
      </c>
      <c r="E82" s="2611"/>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372">
        <f>MIN(SUMIF($F$4:$AJ$4,"&gt;0",F82:AJ82),'【様式2】職員名簿 '!$G$5)</f>
        <v>0</v>
      </c>
    </row>
    <row r="83" spans="2:37" ht="15" customHeight="1">
      <c r="B83" s="114">
        <f t="shared" si="1"/>
        <v>77</v>
      </c>
      <c r="C83" s="371" t="str">
        <f>IFERROR(INDEX('【様式2】職員名簿 '!$B$44:$B$143,MATCH($B83,'【様式2】職員名簿 '!$P$44:$P$143,0),1),"")</f>
        <v/>
      </c>
      <c r="D83" s="2610" t="s">
        <v>446</v>
      </c>
      <c r="E83" s="2611"/>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372">
        <f>MIN(SUMIF($F$4:$AJ$4,"&gt;0",F83:AJ83),'【様式2】職員名簿 '!$G$5)</f>
        <v>0</v>
      </c>
    </row>
    <row r="84" spans="2:37" ht="15" customHeight="1">
      <c r="B84" s="114">
        <f t="shared" si="1"/>
        <v>78</v>
      </c>
      <c r="C84" s="371" t="str">
        <f>IFERROR(INDEX('【様式2】職員名簿 '!$B$44:$B$143,MATCH($B84,'【様式2】職員名簿 '!$P$44:$P$143,0),1),"")</f>
        <v/>
      </c>
      <c r="D84" s="2610" t="s">
        <v>446</v>
      </c>
      <c r="E84" s="2611"/>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372">
        <f>MIN(SUMIF($F$4:$AJ$4,"&gt;0",F84:AJ84),'【様式2】職員名簿 '!$G$5)</f>
        <v>0</v>
      </c>
    </row>
    <row r="85" spans="2:37" ht="15" customHeight="1">
      <c r="B85" s="114">
        <f t="shared" si="1"/>
        <v>79</v>
      </c>
      <c r="C85" s="371" t="str">
        <f>IFERROR(INDEX('【様式2】職員名簿 '!$B$44:$B$143,MATCH($B85,'【様式2】職員名簿 '!$P$44:$P$143,0),1),"")</f>
        <v/>
      </c>
      <c r="D85" s="2610" t="s">
        <v>446</v>
      </c>
      <c r="E85" s="2611"/>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372">
        <f>MIN(SUMIF($F$4:$AJ$4,"&gt;0",F85:AJ85),'【様式2】職員名簿 '!$G$5)</f>
        <v>0</v>
      </c>
    </row>
    <row r="86" spans="2:37" ht="15" customHeight="1">
      <c r="B86" s="114">
        <f t="shared" si="1"/>
        <v>80</v>
      </c>
      <c r="C86" s="371" t="str">
        <f>IFERROR(INDEX('【様式2】職員名簿 '!$B$44:$B$143,MATCH($B86,'【様式2】職員名簿 '!$P$44:$P$143,0),1),"")</f>
        <v/>
      </c>
      <c r="D86" s="2610" t="s">
        <v>446</v>
      </c>
      <c r="E86" s="2611"/>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372">
        <f>MIN(SUMIF($F$4:$AJ$4,"&gt;0",F86:AJ86),'【様式2】職員名簿 '!$G$5)</f>
        <v>0</v>
      </c>
    </row>
    <row r="87" spans="2:37" ht="15" customHeight="1">
      <c r="B87" s="114">
        <f t="shared" si="1"/>
        <v>81</v>
      </c>
      <c r="C87" s="371" t="str">
        <f>IFERROR(INDEX('【様式2】職員名簿 '!$B$44:$B$143,MATCH($B87,'【様式2】職員名簿 '!$P$44:$P$143,0),1),"")</f>
        <v/>
      </c>
      <c r="D87" s="2610" t="s">
        <v>446</v>
      </c>
      <c r="E87" s="2611"/>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372">
        <f>MIN(SUMIF($F$4:$AJ$4,"&gt;0",F87:AJ87),'【様式2】職員名簿 '!$G$5)</f>
        <v>0</v>
      </c>
    </row>
    <row r="88" spans="2:37" ht="15" customHeight="1">
      <c r="B88" s="114">
        <f t="shared" si="1"/>
        <v>82</v>
      </c>
      <c r="C88" s="371" t="str">
        <f>IFERROR(INDEX('【様式2】職員名簿 '!$B$44:$B$143,MATCH($B88,'【様式2】職員名簿 '!$P$44:$P$143,0),1),"")</f>
        <v/>
      </c>
      <c r="D88" s="2610" t="s">
        <v>446</v>
      </c>
      <c r="E88" s="2611"/>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372">
        <f>MIN(SUMIF($F$4:$AJ$4,"&gt;0",F88:AJ88),'【様式2】職員名簿 '!$G$5)</f>
        <v>0</v>
      </c>
    </row>
    <row r="89" spans="2:37" ht="15" customHeight="1">
      <c r="B89" s="114">
        <f t="shared" si="1"/>
        <v>83</v>
      </c>
      <c r="C89" s="371" t="str">
        <f>IFERROR(INDEX('【様式2】職員名簿 '!$B$44:$B$143,MATCH($B89,'【様式2】職員名簿 '!$P$44:$P$143,0),1),"")</f>
        <v/>
      </c>
      <c r="D89" s="2610" t="s">
        <v>446</v>
      </c>
      <c r="E89" s="2611"/>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372">
        <f>MIN(SUMIF($F$4:$AJ$4,"&gt;0",F89:AJ89),'【様式2】職員名簿 '!$G$5)</f>
        <v>0</v>
      </c>
    </row>
    <row r="90" spans="2:37" ht="15" customHeight="1">
      <c r="B90" s="114">
        <f t="shared" si="1"/>
        <v>84</v>
      </c>
      <c r="C90" s="371" t="str">
        <f>IFERROR(INDEX('【様式2】職員名簿 '!$B$44:$B$143,MATCH($B90,'【様式2】職員名簿 '!$P$44:$P$143,0),1),"")</f>
        <v/>
      </c>
      <c r="D90" s="2610" t="s">
        <v>446</v>
      </c>
      <c r="E90" s="2611"/>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372">
        <f>MIN(SUMIF($F$4:$AJ$4,"&gt;0",F90:AJ90),'【様式2】職員名簿 '!$G$5)</f>
        <v>0</v>
      </c>
    </row>
    <row r="91" spans="2:37" ht="15" customHeight="1">
      <c r="B91" s="114">
        <f t="shared" si="1"/>
        <v>85</v>
      </c>
      <c r="C91" s="371" t="str">
        <f>IFERROR(INDEX('【様式2】職員名簿 '!$B$44:$B$143,MATCH($B91,'【様式2】職員名簿 '!$P$44:$P$143,0),1),"")</f>
        <v/>
      </c>
      <c r="D91" s="2610" t="s">
        <v>446</v>
      </c>
      <c r="E91" s="2611"/>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372">
        <f>MIN(SUMIF($F$4:$AJ$4,"&gt;0",F91:AJ91),'【様式2】職員名簿 '!$G$5)</f>
        <v>0</v>
      </c>
    </row>
    <row r="92" spans="2:37" ht="15" customHeight="1">
      <c r="B92" s="114">
        <f t="shared" si="1"/>
        <v>86</v>
      </c>
      <c r="C92" s="371" t="str">
        <f>IFERROR(INDEX('【様式2】職員名簿 '!$B$44:$B$143,MATCH($B92,'【様式2】職員名簿 '!$P$44:$P$143,0),1),"")</f>
        <v/>
      </c>
      <c r="D92" s="2610" t="s">
        <v>446</v>
      </c>
      <c r="E92" s="2611"/>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372">
        <f>MIN(SUMIF($F$4:$AJ$4,"&gt;0",F92:AJ92),'【様式2】職員名簿 '!$G$5)</f>
        <v>0</v>
      </c>
    </row>
    <row r="93" spans="2:37" ht="15" customHeight="1">
      <c r="B93" s="114">
        <f t="shared" si="1"/>
        <v>87</v>
      </c>
      <c r="C93" s="371" t="str">
        <f>IFERROR(INDEX('【様式2】職員名簿 '!$B$44:$B$143,MATCH($B93,'【様式2】職員名簿 '!$P$44:$P$143,0),1),"")</f>
        <v/>
      </c>
      <c r="D93" s="2610" t="s">
        <v>446</v>
      </c>
      <c r="E93" s="2611"/>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372">
        <f>MIN(SUMIF($F$4:$AJ$4,"&gt;0",F93:AJ93),'【様式2】職員名簿 '!$G$5)</f>
        <v>0</v>
      </c>
    </row>
    <row r="94" spans="2:37" ht="15" customHeight="1">
      <c r="B94" s="114">
        <f t="shared" si="1"/>
        <v>88</v>
      </c>
      <c r="C94" s="371" t="str">
        <f>IFERROR(INDEX('【様式2】職員名簿 '!$B$44:$B$143,MATCH($B94,'【様式2】職員名簿 '!$P$44:$P$143,0),1),"")</f>
        <v/>
      </c>
      <c r="D94" s="2610" t="s">
        <v>446</v>
      </c>
      <c r="E94" s="2611"/>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372">
        <f>MIN(SUMIF($F$4:$AJ$4,"&gt;0",F94:AJ94),'【様式2】職員名簿 '!$G$5)</f>
        <v>0</v>
      </c>
    </row>
    <row r="95" spans="2:37" ht="15" customHeight="1">
      <c r="B95" s="114">
        <f t="shared" si="1"/>
        <v>89</v>
      </c>
      <c r="C95" s="371" t="str">
        <f>IFERROR(INDEX('【様式2】職員名簿 '!$B$44:$B$143,MATCH($B95,'【様式2】職員名簿 '!$P$44:$P$143,0),1),"")</f>
        <v/>
      </c>
      <c r="D95" s="2610" t="s">
        <v>446</v>
      </c>
      <c r="E95" s="2611"/>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372">
        <f>MIN(SUMIF($F$4:$AJ$4,"&gt;0",F95:AJ95),'【様式2】職員名簿 '!$G$5)</f>
        <v>0</v>
      </c>
    </row>
    <row r="96" spans="2:37" ht="15" customHeight="1">
      <c r="B96" s="114">
        <f t="shared" si="1"/>
        <v>90</v>
      </c>
      <c r="C96" s="371" t="str">
        <f>IFERROR(INDEX('【様式2】職員名簿 '!$B$44:$B$143,MATCH($B96,'【様式2】職員名簿 '!$P$44:$P$143,0),1),"")</f>
        <v/>
      </c>
      <c r="D96" s="2610" t="s">
        <v>446</v>
      </c>
      <c r="E96" s="2611"/>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372">
        <f>MIN(SUMIF($F$4:$AJ$4,"&gt;0",F96:AJ96),'【様式2】職員名簿 '!$G$5)</f>
        <v>0</v>
      </c>
    </row>
    <row r="97" spans="2:37" ht="15" customHeight="1">
      <c r="B97" s="114">
        <f t="shared" si="1"/>
        <v>91</v>
      </c>
      <c r="C97" s="371" t="str">
        <f>IFERROR(INDEX('【様式2】職員名簿 '!$B$44:$B$143,MATCH($B97,'【様式2】職員名簿 '!$P$44:$P$143,0),1),"")</f>
        <v/>
      </c>
      <c r="D97" s="2610" t="s">
        <v>446</v>
      </c>
      <c r="E97" s="2611"/>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372">
        <f>MIN(SUMIF($F$4:$AJ$4,"&gt;0",F97:AJ97),'【様式2】職員名簿 '!$G$5)</f>
        <v>0</v>
      </c>
    </row>
    <row r="98" spans="2:37" ht="15" customHeight="1">
      <c r="B98" s="114">
        <f t="shared" si="1"/>
        <v>92</v>
      </c>
      <c r="C98" s="371" t="str">
        <f>IFERROR(INDEX('【様式2】職員名簿 '!$B$44:$B$143,MATCH($B98,'【様式2】職員名簿 '!$P$44:$P$143,0),1),"")</f>
        <v/>
      </c>
      <c r="D98" s="2610" t="s">
        <v>446</v>
      </c>
      <c r="E98" s="2611"/>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372">
        <f>MIN(SUMIF($F$4:$AJ$4,"&gt;0",F98:AJ98),'【様式2】職員名簿 '!$G$5)</f>
        <v>0</v>
      </c>
    </row>
    <row r="99" spans="2:37" ht="15" customHeight="1">
      <c r="B99" s="114">
        <f t="shared" si="1"/>
        <v>93</v>
      </c>
      <c r="C99" s="371" t="str">
        <f>IFERROR(INDEX('【様式2】職員名簿 '!$B$44:$B$143,MATCH($B99,'【様式2】職員名簿 '!$P$44:$P$143,0),1),"")</f>
        <v/>
      </c>
      <c r="D99" s="2610" t="s">
        <v>446</v>
      </c>
      <c r="E99" s="2611"/>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372">
        <f>MIN(SUMIF($F$4:$AJ$4,"&gt;0",F99:AJ99),'【様式2】職員名簿 '!$G$5)</f>
        <v>0</v>
      </c>
    </row>
    <row r="100" spans="2:37" ht="15" customHeight="1">
      <c r="B100" s="114">
        <f t="shared" si="1"/>
        <v>94</v>
      </c>
      <c r="C100" s="371" t="str">
        <f>IFERROR(INDEX('【様式2】職員名簿 '!$B$44:$B$143,MATCH($B100,'【様式2】職員名簿 '!$P$44:$P$143,0),1),"")</f>
        <v/>
      </c>
      <c r="D100" s="2610" t="s">
        <v>446</v>
      </c>
      <c r="E100" s="2611"/>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372">
        <f>MIN(SUMIF($F$4:$AJ$4,"&gt;0",F100:AJ100),'【様式2】職員名簿 '!$G$5)</f>
        <v>0</v>
      </c>
    </row>
    <row r="101" spans="2:37" ht="15" customHeight="1">
      <c r="B101" s="114">
        <f t="shared" si="1"/>
        <v>95</v>
      </c>
      <c r="C101" s="371" t="str">
        <f>IFERROR(INDEX('【様式2】職員名簿 '!$B$44:$B$143,MATCH($B101,'【様式2】職員名簿 '!$P$44:$P$143,0),1),"")</f>
        <v/>
      </c>
      <c r="D101" s="2610" t="s">
        <v>446</v>
      </c>
      <c r="E101" s="2611"/>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372">
        <f>MIN(SUMIF($F$4:$AJ$4,"&gt;0",F101:AJ101),'【様式2】職員名簿 '!$G$5)</f>
        <v>0</v>
      </c>
    </row>
    <row r="102" spans="2:37" ht="15" customHeight="1">
      <c r="B102" s="114">
        <f t="shared" si="1"/>
        <v>96</v>
      </c>
      <c r="C102" s="371" t="str">
        <f>IFERROR(INDEX('【様式2】職員名簿 '!$B$44:$B$143,MATCH($B102,'【様式2】職員名簿 '!$P$44:$P$143,0),1),"")</f>
        <v/>
      </c>
      <c r="D102" s="2610" t="s">
        <v>446</v>
      </c>
      <c r="E102" s="2611"/>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372">
        <f>MIN(SUMIF($F$4:$AJ$4,"&gt;0",F102:AJ102),'【様式2】職員名簿 '!$G$5)</f>
        <v>0</v>
      </c>
    </row>
    <row r="103" spans="2:37" ht="15" customHeight="1">
      <c r="B103" s="114">
        <f t="shared" si="1"/>
        <v>97</v>
      </c>
      <c r="C103" s="371" t="str">
        <f>IFERROR(INDEX('【様式2】職員名簿 '!$B$44:$B$143,MATCH($B103,'【様式2】職員名簿 '!$P$44:$P$143,0),1),"")</f>
        <v/>
      </c>
      <c r="D103" s="2610" t="s">
        <v>446</v>
      </c>
      <c r="E103" s="2611"/>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372">
        <f>MIN(SUMIF($F$4:$AJ$4,"&gt;0",F103:AJ103),'【様式2】職員名簿 '!$G$5)</f>
        <v>0</v>
      </c>
    </row>
    <row r="104" spans="2:37" ht="15" customHeight="1">
      <c r="B104" s="114">
        <f t="shared" si="1"/>
        <v>98</v>
      </c>
      <c r="C104" s="371" t="str">
        <f>IFERROR(INDEX('【様式2】職員名簿 '!$B$44:$B$143,MATCH($B104,'【様式2】職員名簿 '!$P$44:$P$143,0),1),"")</f>
        <v/>
      </c>
      <c r="D104" s="2610" t="s">
        <v>446</v>
      </c>
      <c r="E104" s="2611"/>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372">
        <f>MIN(SUMIF($F$4:$AJ$4,"&gt;0",F104:AJ104),'【様式2】職員名簿 '!$G$5)</f>
        <v>0</v>
      </c>
    </row>
    <row r="105" spans="2:37" ht="15" customHeight="1">
      <c r="B105" s="114">
        <f t="shared" si="1"/>
        <v>99</v>
      </c>
      <c r="C105" s="371" t="str">
        <f>IFERROR(INDEX('【様式2】職員名簿 '!$B$44:$B$143,MATCH($B105,'【様式2】職員名簿 '!$P$44:$P$143,0),1),"")</f>
        <v/>
      </c>
      <c r="D105" s="2610" t="s">
        <v>446</v>
      </c>
      <c r="E105" s="2611"/>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372">
        <f>MIN(SUMIF($F$4:$AJ$4,"&gt;0",F105:AJ105),'【様式2】職員名簿 '!$G$5)</f>
        <v>0</v>
      </c>
    </row>
    <row r="106" spans="2:37" ht="15" customHeight="1" thickBot="1">
      <c r="B106" s="116">
        <f t="shared" si="1"/>
        <v>100</v>
      </c>
      <c r="C106" s="373" t="str">
        <f>IFERROR(INDEX('【様式2】職員名簿 '!$B$44:$B$143,MATCH($B106,'【様式2】職員名簿 '!$P$44:$P$143,0),1),"")</f>
        <v/>
      </c>
      <c r="D106" s="2623" t="s">
        <v>446</v>
      </c>
      <c r="E106" s="2624"/>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374">
        <f>MIN(SUMIF($F$4:$AJ$4,"&gt;0",F106:AJ106),'【様式2】職員名簿 '!$G$5)</f>
        <v>0</v>
      </c>
    </row>
    <row r="107" spans="2:37" ht="12.75" thickBot="1">
      <c r="B107" s="2625" t="s">
        <v>15</v>
      </c>
      <c r="C107" s="2626"/>
      <c r="D107" s="2626"/>
      <c r="E107" s="2626"/>
      <c r="F107" s="375">
        <f>SUM(F7:F106)</f>
        <v>0</v>
      </c>
      <c r="G107" s="375">
        <f t="shared" ref="G107:AK107" si="2">SUM(G7:G106)</f>
        <v>0</v>
      </c>
      <c r="H107" s="375">
        <f t="shared" si="2"/>
        <v>0</v>
      </c>
      <c r="I107" s="375">
        <f t="shared" si="2"/>
        <v>0</v>
      </c>
      <c r="J107" s="375">
        <f t="shared" si="2"/>
        <v>0</v>
      </c>
      <c r="K107" s="375">
        <f t="shared" si="2"/>
        <v>0</v>
      </c>
      <c r="L107" s="375">
        <f t="shared" si="2"/>
        <v>0</v>
      </c>
      <c r="M107" s="375">
        <f t="shared" si="2"/>
        <v>0</v>
      </c>
      <c r="N107" s="375">
        <f t="shared" si="2"/>
        <v>0</v>
      </c>
      <c r="O107" s="375">
        <f t="shared" si="2"/>
        <v>0</v>
      </c>
      <c r="P107" s="375">
        <f t="shared" si="2"/>
        <v>0</v>
      </c>
      <c r="Q107" s="375">
        <f t="shared" si="2"/>
        <v>0</v>
      </c>
      <c r="R107" s="375">
        <f t="shared" si="2"/>
        <v>0</v>
      </c>
      <c r="S107" s="375">
        <f t="shared" si="2"/>
        <v>0</v>
      </c>
      <c r="T107" s="375">
        <f t="shared" si="2"/>
        <v>0</v>
      </c>
      <c r="U107" s="375">
        <f t="shared" si="2"/>
        <v>0</v>
      </c>
      <c r="V107" s="375">
        <f t="shared" si="2"/>
        <v>0</v>
      </c>
      <c r="W107" s="375">
        <f t="shared" si="2"/>
        <v>0</v>
      </c>
      <c r="X107" s="375">
        <f t="shared" si="2"/>
        <v>0</v>
      </c>
      <c r="Y107" s="375">
        <f t="shared" si="2"/>
        <v>0</v>
      </c>
      <c r="Z107" s="375">
        <f t="shared" si="2"/>
        <v>0</v>
      </c>
      <c r="AA107" s="375">
        <f t="shared" si="2"/>
        <v>0</v>
      </c>
      <c r="AB107" s="375">
        <f t="shared" si="2"/>
        <v>0</v>
      </c>
      <c r="AC107" s="375">
        <f t="shared" si="2"/>
        <v>0</v>
      </c>
      <c r="AD107" s="375">
        <f t="shared" si="2"/>
        <v>0</v>
      </c>
      <c r="AE107" s="375">
        <f t="shared" si="2"/>
        <v>0</v>
      </c>
      <c r="AF107" s="375">
        <f t="shared" si="2"/>
        <v>0</v>
      </c>
      <c r="AG107" s="375">
        <f t="shared" si="2"/>
        <v>0</v>
      </c>
      <c r="AH107" s="375">
        <f>IF(AH4="",0,SUM(AH7:AH106))</f>
        <v>0</v>
      </c>
      <c r="AI107" s="375">
        <f t="shared" ref="AI107:AJ107" si="3">IF(AI4="",0,SUM(AI7:AI106))</f>
        <v>0</v>
      </c>
      <c r="AJ107" s="375">
        <f t="shared" si="3"/>
        <v>0</v>
      </c>
      <c r="AK107" s="374">
        <f t="shared" si="2"/>
        <v>0</v>
      </c>
    </row>
  </sheetData>
  <sheetProtection algorithmName="SHA-512" hashValue="2NnXPuvb0L4bJpX/2RTdC0WkP2gkpvk+54ehwUK6kMe40kuaC2AtXXvCFYqjgLPnlxXk6B1OaxLlPiZImXy06Q==" saltValue="pWfLh+qZoqds1EM97Cz/mg==" spinCount="100000" sheet="1" objects="1" scenarios="1"/>
  <mergeCells count="123">
    <mergeCell ref="D106:E106"/>
    <mergeCell ref="B107:E107"/>
    <mergeCell ref="D100:E100"/>
    <mergeCell ref="D101:E101"/>
    <mergeCell ref="D102:E102"/>
    <mergeCell ref="D103:E103"/>
    <mergeCell ref="D104:E104"/>
    <mergeCell ref="D105:E105"/>
    <mergeCell ref="D94:E94"/>
    <mergeCell ref="D95:E95"/>
    <mergeCell ref="D96:E96"/>
    <mergeCell ref="D97:E97"/>
    <mergeCell ref="D98:E98"/>
    <mergeCell ref="D99:E99"/>
    <mergeCell ref="D88:E88"/>
    <mergeCell ref="D89:E89"/>
    <mergeCell ref="D90:E90"/>
    <mergeCell ref="D91:E91"/>
    <mergeCell ref="D92:E92"/>
    <mergeCell ref="D93:E93"/>
    <mergeCell ref="D82:E82"/>
    <mergeCell ref="D83:E83"/>
    <mergeCell ref="D84:E84"/>
    <mergeCell ref="D85:E85"/>
    <mergeCell ref="D86:E86"/>
    <mergeCell ref="D87:E87"/>
    <mergeCell ref="D76:E76"/>
    <mergeCell ref="D77:E77"/>
    <mergeCell ref="D78:E78"/>
    <mergeCell ref="D79:E79"/>
    <mergeCell ref="D80:E80"/>
    <mergeCell ref="D81:E81"/>
    <mergeCell ref="D70:E70"/>
    <mergeCell ref="D71:E71"/>
    <mergeCell ref="D72:E72"/>
    <mergeCell ref="D73:E73"/>
    <mergeCell ref="D74:E74"/>
    <mergeCell ref="D75:E75"/>
    <mergeCell ref="D64:E64"/>
    <mergeCell ref="D65:E65"/>
    <mergeCell ref="D66:E66"/>
    <mergeCell ref="D67:E67"/>
    <mergeCell ref="D68:E68"/>
    <mergeCell ref="D69:E69"/>
    <mergeCell ref="D58:E58"/>
    <mergeCell ref="D59:E59"/>
    <mergeCell ref="D60:E60"/>
    <mergeCell ref="D61:E61"/>
    <mergeCell ref="D62:E62"/>
    <mergeCell ref="D63:E63"/>
    <mergeCell ref="D52:E52"/>
    <mergeCell ref="D53:E53"/>
    <mergeCell ref="D54:E54"/>
    <mergeCell ref="D55:E55"/>
    <mergeCell ref="D56:E56"/>
    <mergeCell ref="D57:E57"/>
    <mergeCell ref="D46:E46"/>
    <mergeCell ref="D47:E47"/>
    <mergeCell ref="D48:E48"/>
    <mergeCell ref="D49:E49"/>
    <mergeCell ref="D50:E50"/>
    <mergeCell ref="D51:E51"/>
    <mergeCell ref="D40:E40"/>
    <mergeCell ref="D41:E41"/>
    <mergeCell ref="D42:E42"/>
    <mergeCell ref="D43:E43"/>
    <mergeCell ref="D44:E44"/>
    <mergeCell ref="D45:E45"/>
    <mergeCell ref="D34:E34"/>
    <mergeCell ref="D35:E35"/>
    <mergeCell ref="D36:E36"/>
    <mergeCell ref="D37:E37"/>
    <mergeCell ref="D38:E38"/>
    <mergeCell ref="D39:E39"/>
    <mergeCell ref="D28:E28"/>
    <mergeCell ref="D29:E29"/>
    <mergeCell ref="D30:E30"/>
    <mergeCell ref="D31:E31"/>
    <mergeCell ref="D32:E32"/>
    <mergeCell ref="D33:E33"/>
    <mergeCell ref="D22:E22"/>
    <mergeCell ref="D23:E23"/>
    <mergeCell ref="D24:E24"/>
    <mergeCell ref="D25:E25"/>
    <mergeCell ref="D26:E26"/>
    <mergeCell ref="D27:E27"/>
    <mergeCell ref="D16:E16"/>
    <mergeCell ref="D17:E17"/>
    <mergeCell ref="D18:E18"/>
    <mergeCell ref="D19:E19"/>
    <mergeCell ref="D20:E20"/>
    <mergeCell ref="D21:E21"/>
    <mergeCell ref="D10:E10"/>
    <mergeCell ref="D11:E11"/>
    <mergeCell ref="D12:E12"/>
    <mergeCell ref="D13:E13"/>
    <mergeCell ref="D14:E14"/>
    <mergeCell ref="D15:E15"/>
    <mergeCell ref="AK4:AK6"/>
    <mergeCell ref="D5:E5"/>
    <mergeCell ref="D6:E6"/>
    <mergeCell ref="D7:E7"/>
    <mergeCell ref="D8:E8"/>
    <mergeCell ref="D9:E9"/>
    <mergeCell ref="AJ2:AJ3"/>
    <mergeCell ref="C3:E3"/>
    <mergeCell ref="F3:J3"/>
    <mergeCell ref="AC3:AD3"/>
    <mergeCell ref="K2:Z2"/>
    <mergeCell ref="AA2:AB3"/>
    <mergeCell ref="K3:Z3"/>
    <mergeCell ref="B4:B6"/>
    <mergeCell ref="C4:C6"/>
    <mergeCell ref="D4:E4"/>
    <mergeCell ref="B1:E1"/>
    <mergeCell ref="G1:H1"/>
    <mergeCell ref="L1:T1"/>
    <mergeCell ref="AC1:AJ1"/>
    <mergeCell ref="C2:E2"/>
    <mergeCell ref="F2:J2"/>
    <mergeCell ref="AC2:AD2"/>
    <mergeCell ref="AF2:AG3"/>
    <mergeCell ref="AH2:AI3"/>
  </mergeCells>
  <phoneticPr fontId="1"/>
  <conditionalFormatting sqref="C7:C106">
    <cfRule type="expression" dxfId="28" priority="1">
      <formula>$C7&lt;&gt;""</formula>
    </cfRule>
  </conditionalFormatting>
  <conditionalFormatting sqref="F7:AI106">
    <cfRule type="expression" dxfId="27" priority="3">
      <formula>F$5="●"</formula>
    </cfRule>
  </conditionalFormatting>
  <conditionalFormatting sqref="F4:AJ6">
    <cfRule type="expression" dxfId="26" priority="11">
      <formula>F$5="○"</formula>
    </cfRule>
  </conditionalFormatting>
  <conditionalFormatting sqref="F7:AJ106">
    <cfRule type="expression" dxfId="25" priority="2">
      <formula>F$5="○"</formula>
    </cfRule>
  </conditionalFormatting>
  <conditionalFormatting sqref="AH7:AJ106">
    <cfRule type="expression" dxfId="24" priority="4">
      <formula>NOT(AH$4&lt;&gt;"")</formula>
    </cfRule>
  </conditionalFormatting>
  <dataValidations count="4">
    <dataValidation type="whole" errorStyle="warning" allowBlank="1" showInputMessage="1" showErrorMessage="1" error="1～12の整数を入力してください。" sqref="AO2" xr:uid="{00000000-0002-0000-0E00-000000000000}">
      <formula1>1</formula1>
      <formula2>12</formula2>
    </dataValidation>
    <dataValidation errorStyle="warning" imeMode="hiragana" allowBlank="1" showInputMessage="1" showErrorMessage="1" sqref="C7:C106" xr:uid="{00000000-0002-0000-0E00-000001000000}"/>
    <dataValidation imeMode="halfAlpha" allowBlank="1" showInputMessage="1" showErrorMessage="1" sqref="AK7:AL7 AK8:AK106" xr:uid="{00000000-0002-0000-0E00-000002000000}"/>
    <dataValidation type="decimal" imeMode="halfAlpha" allowBlank="1" showErrorMessage="1" sqref="G7:AJ106" xr:uid="{00000000-0002-0000-0E00-000003000000}">
      <formula1>0</formula1>
      <formula2>24</formula2>
    </dataValidation>
  </dataValidations>
  <printOptions horizontalCentered="1"/>
  <pageMargins left="0" right="0" top="0.70866141732283472" bottom="0.59055118110236227" header="0" footer="0"/>
  <pageSetup paperSize="9" scale="61" fitToHeight="2" orientation="landscape" r:id="rId1"/>
  <headerFooter alignWithMargins="0">
    <oddHeader xml:space="preserve">&amp;R
</oddHeader>
  </headerFooter>
  <rowBreaks count="1" manualBreakCount="1">
    <brk id="94" min="1" max="36" man="1"/>
  </rowBreaks>
  <drawing r:id="rId2"/>
  <extLst>
    <ext xmlns:x14="http://schemas.microsoft.com/office/spreadsheetml/2009/9/main" uri="{CCE6A557-97BC-4b89-ADB6-D9C93CAAB3DF}">
      <x14:dataValidations xmlns:xm="http://schemas.microsoft.com/office/excel/2006/main" count="1">
        <x14:dataValidation type="decimal" allowBlank="1" showInputMessage="1" showErrorMessage="1" xr:uid="{D51D16DD-CFAB-4903-9520-0DFF5C62ECD4}">
          <x14:formula1>
            <xm:f>0</xm:f>
          </x14:formula1>
          <x14:formula2>
            <xm:f>'【様式2】職員名簿 '!$G$5</xm:f>
          </x14:formula2>
          <xm:sqref>F7:F106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tabColor rgb="FFFF0000"/>
    <pageSetUpPr fitToPage="1"/>
  </sheetPr>
  <dimension ref="A1:T34"/>
  <sheetViews>
    <sheetView view="pageBreakPreview" zoomScale="90" zoomScaleNormal="100" zoomScaleSheetLayoutView="90" workbookViewId="0"/>
  </sheetViews>
  <sheetFormatPr defaultRowHeight="12" outlineLevelCol="1"/>
  <cols>
    <col min="1" max="1" width="16.625" style="1053" customWidth="1"/>
    <col min="2" max="2" width="12.5" style="1053" customWidth="1"/>
    <col min="3" max="3" width="9.875" style="1053" customWidth="1"/>
    <col min="4" max="5" width="18" style="1053" customWidth="1"/>
    <col min="6" max="6" width="11.625" style="1053" customWidth="1"/>
    <col min="7" max="7" width="50.625" style="1053" customWidth="1"/>
    <col min="8" max="8" width="0" style="1053" hidden="1" customWidth="1" outlineLevel="1"/>
    <col min="9" max="9" width="9" style="1053" collapsed="1"/>
    <col min="10" max="256" width="9" style="1053"/>
    <col min="257" max="257" width="17.25" style="1053" customWidth="1"/>
    <col min="258" max="258" width="18.125" style="1053" customWidth="1"/>
    <col min="259" max="259" width="12.25" style="1053" customWidth="1"/>
    <col min="260" max="260" width="8.5" style="1053" customWidth="1"/>
    <col min="261" max="261" width="9.5" style="1053" customWidth="1"/>
    <col min="262" max="262" width="15.75" style="1053" customWidth="1"/>
    <col min="263" max="263" width="12.5" style="1053" customWidth="1"/>
    <col min="264" max="512" width="9" style="1053"/>
    <col min="513" max="513" width="17.25" style="1053" customWidth="1"/>
    <col min="514" max="514" width="18.125" style="1053" customWidth="1"/>
    <col min="515" max="515" width="12.25" style="1053" customWidth="1"/>
    <col min="516" max="516" width="8.5" style="1053" customWidth="1"/>
    <col min="517" max="517" width="9.5" style="1053" customWidth="1"/>
    <col min="518" max="518" width="15.75" style="1053" customWidth="1"/>
    <col min="519" max="519" width="12.5" style="1053" customWidth="1"/>
    <col min="520" max="768" width="9" style="1053"/>
    <col min="769" max="769" width="17.25" style="1053" customWidth="1"/>
    <col min="770" max="770" width="18.125" style="1053" customWidth="1"/>
    <col min="771" max="771" width="12.25" style="1053" customWidth="1"/>
    <col min="772" max="772" width="8.5" style="1053" customWidth="1"/>
    <col min="773" max="773" width="9.5" style="1053" customWidth="1"/>
    <col min="774" max="774" width="15.75" style="1053" customWidth="1"/>
    <col min="775" max="775" width="12.5" style="1053" customWidth="1"/>
    <col min="776" max="1024" width="9" style="1053"/>
    <col min="1025" max="1025" width="17.25" style="1053" customWidth="1"/>
    <col min="1026" max="1026" width="18.125" style="1053" customWidth="1"/>
    <col min="1027" max="1027" width="12.25" style="1053" customWidth="1"/>
    <col min="1028" max="1028" width="8.5" style="1053" customWidth="1"/>
    <col min="1029" max="1029" width="9.5" style="1053" customWidth="1"/>
    <col min="1030" max="1030" width="15.75" style="1053" customWidth="1"/>
    <col min="1031" max="1031" width="12.5" style="1053" customWidth="1"/>
    <col min="1032" max="1280" width="9" style="1053"/>
    <col min="1281" max="1281" width="17.25" style="1053" customWidth="1"/>
    <col min="1282" max="1282" width="18.125" style="1053" customWidth="1"/>
    <col min="1283" max="1283" width="12.25" style="1053" customWidth="1"/>
    <col min="1284" max="1284" width="8.5" style="1053" customWidth="1"/>
    <col min="1285" max="1285" width="9.5" style="1053" customWidth="1"/>
    <col min="1286" max="1286" width="15.75" style="1053" customWidth="1"/>
    <col min="1287" max="1287" width="12.5" style="1053" customWidth="1"/>
    <col min="1288" max="1536" width="9" style="1053"/>
    <col min="1537" max="1537" width="17.25" style="1053" customWidth="1"/>
    <col min="1538" max="1538" width="18.125" style="1053" customWidth="1"/>
    <col min="1539" max="1539" width="12.25" style="1053" customWidth="1"/>
    <col min="1540" max="1540" width="8.5" style="1053" customWidth="1"/>
    <col min="1541" max="1541" width="9.5" style="1053" customWidth="1"/>
    <col min="1542" max="1542" width="15.75" style="1053" customWidth="1"/>
    <col min="1543" max="1543" width="12.5" style="1053" customWidth="1"/>
    <col min="1544" max="1792" width="9" style="1053"/>
    <col min="1793" max="1793" width="17.25" style="1053" customWidth="1"/>
    <col min="1794" max="1794" width="18.125" style="1053" customWidth="1"/>
    <col min="1795" max="1795" width="12.25" style="1053" customWidth="1"/>
    <col min="1796" max="1796" width="8.5" style="1053" customWidth="1"/>
    <col min="1797" max="1797" width="9.5" style="1053" customWidth="1"/>
    <col min="1798" max="1798" width="15.75" style="1053" customWidth="1"/>
    <col min="1799" max="1799" width="12.5" style="1053" customWidth="1"/>
    <col min="1800" max="2048" width="9" style="1053"/>
    <col min="2049" max="2049" width="17.25" style="1053" customWidth="1"/>
    <col min="2050" max="2050" width="18.125" style="1053" customWidth="1"/>
    <col min="2051" max="2051" width="12.25" style="1053" customWidth="1"/>
    <col min="2052" max="2052" width="8.5" style="1053" customWidth="1"/>
    <col min="2053" max="2053" width="9.5" style="1053" customWidth="1"/>
    <col min="2054" max="2054" width="15.75" style="1053" customWidth="1"/>
    <col min="2055" max="2055" width="12.5" style="1053" customWidth="1"/>
    <col min="2056" max="2304" width="9" style="1053"/>
    <col min="2305" max="2305" width="17.25" style="1053" customWidth="1"/>
    <col min="2306" max="2306" width="18.125" style="1053" customWidth="1"/>
    <col min="2307" max="2307" width="12.25" style="1053" customWidth="1"/>
    <col min="2308" max="2308" width="8.5" style="1053" customWidth="1"/>
    <col min="2309" max="2309" width="9.5" style="1053" customWidth="1"/>
    <col min="2310" max="2310" width="15.75" style="1053" customWidth="1"/>
    <col min="2311" max="2311" width="12.5" style="1053" customWidth="1"/>
    <col min="2312" max="2560" width="9" style="1053"/>
    <col min="2561" max="2561" width="17.25" style="1053" customWidth="1"/>
    <col min="2562" max="2562" width="18.125" style="1053" customWidth="1"/>
    <col min="2563" max="2563" width="12.25" style="1053" customWidth="1"/>
    <col min="2564" max="2564" width="8.5" style="1053" customWidth="1"/>
    <col min="2565" max="2565" width="9.5" style="1053" customWidth="1"/>
    <col min="2566" max="2566" width="15.75" style="1053" customWidth="1"/>
    <col min="2567" max="2567" width="12.5" style="1053" customWidth="1"/>
    <col min="2568" max="2816" width="9" style="1053"/>
    <col min="2817" max="2817" width="17.25" style="1053" customWidth="1"/>
    <col min="2818" max="2818" width="18.125" style="1053" customWidth="1"/>
    <col min="2819" max="2819" width="12.25" style="1053" customWidth="1"/>
    <col min="2820" max="2820" width="8.5" style="1053" customWidth="1"/>
    <col min="2821" max="2821" width="9.5" style="1053" customWidth="1"/>
    <col min="2822" max="2822" width="15.75" style="1053" customWidth="1"/>
    <col min="2823" max="2823" width="12.5" style="1053" customWidth="1"/>
    <col min="2824" max="3072" width="9" style="1053"/>
    <col min="3073" max="3073" width="17.25" style="1053" customWidth="1"/>
    <col min="3074" max="3074" width="18.125" style="1053" customWidth="1"/>
    <col min="3075" max="3075" width="12.25" style="1053" customWidth="1"/>
    <col min="3076" max="3076" width="8.5" style="1053" customWidth="1"/>
    <col min="3077" max="3077" width="9.5" style="1053" customWidth="1"/>
    <col min="3078" max="3078" width="15.75" style="1053" customWidth="1"/>
    <col min="3079" max="3079" width="12.5" style="1053" customWidth="1"/>
    <col min="3080" max="3328" width="9" style="1053"/>
    <col min="3329" max="3329" width="17.25" style="1053" customWidth="1"/>
    <col min="3330" max="3330" width="18.125" style="1053" customWidth="1"/>
    <col min="3331" max="3331" width="12.25" style="1053" customWidth="1"/>
    <col min="3332" max="3332" width="8.5" style="1053" customWidth="1"/>
    <col min="3333" max="3333" width="9.5" style="1053" customWidth="1"/>
    <col min="3334" max="3334" width="15.75" style="1053" customWidth="1"/>
    <col min="3335" max="3335" width="12.5" style="1053" customWidth="1"/>
    <col min="3336" max="3584" width="9" style="1053"/>
    <col min="3585" max="3585" width="17.25" style="1053" customWidth="1"/>
    <col min="3586" max="3586" width="18.125" style="1053" customWidth="1"/>
    <col min="3587" max="3587" width="12.25" style="1053" customWidth="1"/>
    <col min="3588" max="3588" width="8.5" style="1053" customWidth="1"/>
    <col min="3589" max="3589" width="9.5" style="1053" customWidth="1"/>
    <col min="3590" max="3590" width="15.75" style="1053" customWidth="1"/>
    <col min="3591" max="3591" width="12.5" style="1053" customWidth="1"/>
    <col min="3592" max="3840" width="9" style="1053"/>
    <col min="3841" max="3841" width="17.25" style="1053" customWidth="1"/>
    <col min="3842" max="3842" width="18.125" style="1053" customWidth="1"/>
    <col min="3843" max="3843" width="12.25" style="1053" customWidth="1"/>
    <col min="3844" max="3844" width="8.5" style="1053" customWidth="1"/>
    <col min="3845" max="3845" width="9.5" style="1053" customWidth="1"/>
    <col min="3846" max="3846" width="15.75" style="1053" customWidth="1"/>
    <col min="3847" max="3847" width="12.5" style="1053" customWidth="1"/>
    <col min="3848" max="4096" width="9" style="1053"/>
    <col min="4097" max="4097" width="17.25" style="1053" customWidth="1"/>
    <col min="4098" max="4098" width="18.125" style="1053" customWidth="1"/>
    <col min="4099" max="4099" width="12.25" style="1053" customWidth="1"/>
    <col min="4100" max="4100" width="8.5" style="1053" customWidth="1"/>
    <col min="4101" max="4101" width="9.5" style="1053" customWidth="1"/>
    <col min="4102" max="4102" width="15.75" style="1053" customWidth="1"/>
    <col min="4103" max="4103" width="12.5" style="1053" customWidth="1"/>
    <col min="4104" max="4352" width="9" style="1053"/>
    <col min="4353" max="4353" width="17.25" style="1053" customWidth="1"/>
    <col min="4354" max="4354" width="18.125" style="1053" customWidth="1"/>
    <col min="4355" max="4355" width="12.25" style="1053" customWidth="1"/>
    <col min="4356" max="4356" width="8.5" style="1053" customWidth="1"/>
    <col min="4357" max="4357" width="9.5" style="1053" customWidth="1"/>
    <col min="4358" max="4358" width="15.75" style="1053" customWidth="1"/>
    <col min="4359" max="4359" width="12.5" style="1053" customWidth="1"/>
    <col min="4360" max="4608" width="9" style="1053"/>
    <col min="4609" max="4609" width="17.25" style="1053" customWidth="1"/>
    <col min="4610" max="4610" width="18.125" style="1053" customWidth="1"/>
    <col min="4611" max="4611" width="12.25" style="1053" customWidth="1"/>
    <col min="4612" max="4612" width="8.5" style="1053" customWidth="1"/>
    <col min="4613" max="4613" width="9.5" style="1053" customWidth="1"/>
    <col min="4614" max="4614" width="15.75" style="1053" customWidth="1"/>
    <col min="4615" max="4615" width="12.5" style="1053" customWidth="1"/>
    <col min="4616" max="4864" width="9" style="1053"/>
    <col min="4865" max="4865" width="17.25" style="1053" customWidth="1"/>
    <col min="4866" max="4866" width="18.125" style="1053" customWidth="1"/>
    <col min="4867" max="4867" width="12.25" style="1053" customWidth="1"/>
    <col min="4868" max="4868" width="8.5" style="1053" customWidth="1"/>
    <col min="4869" max="4869" width="9.5" style="1053" customWidth="1"/>
    <col min="4870" max="4870" width="15.75" style="1053" customWidth="1"/>
    <col min="4871" max="4871" width="12.5" style="1053" customWidth="1"/>
    <col min="4872" max="5120" width="9" style="1053"/>
    <col min="5121" max="5121" width="17.25" style="1053" customWidth="1"/>
    <col min="5122" max="5122" width="18.125" style="1053" customWidth="1"/>
    <col min="5123" max="5123" width="12.25" style="1053" customWidth="1"/>
    <col min="5124" max="5124" width="8.5" style="1053" customWidth="1"/>
    <col min="5125" max="5125" width="9.5" style="1053" customWidth="1"/>
    <col min="5126" max="5126" width="15.75" style="1053" customWidth="1"/>
    <col min="5127" max="5127" width="12.5" style="1053" customWidth="1"/>
    <col min="5128" max="5376" width="9" style="1053"/>
    <col min="5377" max="5377" width="17.25" style="1053" customWidth="1"/>
    <col min="5378" max="5378" width="18.125" style="1053" customWidth="1"/>
    <col min="5379" max="5379" width="12.25" style="1053" customWidth="1"/>
    <col min="5380" max="5380" width="8.5" style="1053" customWidth="1"/>
    <col min="5381" max="5381" width="9.5" style="1053" customWidth="1"/>
    <col min="5382" max="5382" width="15.75" style="1053" customWidth="1"/>
    <col min="5383" max="5383" width="12.5" style="1053" customWidth="1"/>
    <col min="5384" max="5632" width="9" style="1053"/>
    <col min="5633" max="5633" width="17.25" style="1053" customWidth="1"/>
    <col min="5634" max="5634" width="18.125" style="1053" customWidth="1"/>
    <col min="5635" max="5635" width="12.25" style="1053" customWidth="1"/>
    <col min="5636" max="5636" width="8.5" style="1053" customWidth="1"/>
    <col min="5637" max="5637" width="9.5" style="1053" customWidth="1"/>
    <col min="5638" max="5638" width="15.75" style="1053" customWidth="1"/>
    <col min="5639" max="5639" width="12.5" style="1053" customWidth="1"/>
    <col min="5640" max="5888" width="9" style="1053"/>
    <col min="5889" max="5889" width="17.25" style="1053" customWidth="1"/>
    <col min="5890" max="5890" width="18.125" style="1053" customWidth="1"/>
    <col min="5891" max="5891" width="12.25" style="1053" customWidth="1"/>
    <col min="5892" max="5892" width="8.5" style="1053" customWidth="1"/>
    <col min="5893" max="5893" width="9.5" style="1053" customWidth="1"/>
    <col min="5894" max="5894" width="15.75" style="1053" customWidth="1"/>
    <col min="5895" max="5895" width="12.5" style="1053" customWidth="1"/>
    <col min="5896" max="6144" width="9" style="1053"/>
    <col min="6145" max="6145" width="17.25" style="1053" customWidth="1"/>
    <col min="6146" max="6146" width="18.125" style="1053" customWidth="1"/>
    <col min="6147" max="6147" width="12.25" style="1053" customWidth="1"/>
    <col min="6148" max="6148" width="8.5" style="1053" customWidth="1"/>
    <col min="6149" max="6149" width="9.5" style="1053" customWidth="1"/>
    <col min="6150" max="6150" width="15.75" style="1053" customWidth="1"/>
    <col min="6151" max="6151" width="12.5" style="1053" customWidth="1"/>
    <col min="6152" max="6400" width="9" style="1053"/>
    <col min="6401" max="6401" width="17.25" style="1053" customWidth="1"/>
    <col min="6402" max="6402" width="18.125" style="1053" customWidth="1"/>
    <col min="6403" max="6403" width="12.25" style="1053" customWidth="1"/>
    <col min="6404" max="6404" width="8.5" style="1053" customWidth="1"/>
    <col min="6405" max="6405" width="9.5" style="1053" customWidth="1"/>
    <col min="6406" max="6406" width="15.75" style="1053" customWidth="1"/>
    <col min="6407" max="6407" width="12.5" style="1053" customWidth="1"/>
    <col min="6408" max="6656" width="9" style="1053"/>
    <col min="6657" max="6657" width="17.25" style="1053" customWidth="1"/>
    <col min="6658" max="6658" width="18.125" style="1053" customWidth="1"/>
    <col min="6659" max="6659" width="12.25" style="1053" customWidth="1"/>
    <col min="6660" max="6660" width="8.5" style="1053" customWidth="1"/>
    <col min="6661" max="6661" width="9.5" style="1053" customWidth="1"/>
    <col min="6662" max="6662" width="15.75" style="1053" customWidth="1"/>
    <col min="6663" max="6663" width="12.5" style="1053" customWidth="1"/>
    <col min="6664" max="6912" width="9" style="1053"/>
    <col min="6913" max="6913" width="17.25" style="1053" customWidth="1"/>
    <col min="6914" max="6914" width="18.125" style="1053" customWidth="1"/>
    <col min="6915" max="6915" width="12.25" style="1053" customWidth="1"/>
    <col min="6916" max="6916" width="8.5" style="1053" customWidth="1"/>
    <col min="6917" max="6917" width="9.5" style="1053" customWidth="1"/>
    <col min="6918" max="6918" width="15.75" style="1053" customWidth="1"/>
    <col min="6919" max="6919" width="12.5" style="1053" customWidth="1"/>
    <col min="6920" max="7168" width="9" style="1053"/>
    <col min="7169" max="7169" width="17.25" style="1053" customWidth="1"/>
    <col min="7170" max="7170" width="18.125" style="1053" customWidth="1"/>
    <col min="7171" max="7171" width="12.25" style="1053" customWidth="1"/>
    <col min="7172" max="7172" width="8.5" style="1053" customWidth="1"/>
    <col min="7173" max="7173" width="9.5" style="1053" customWidth="1"/>
    <col min="7174" max="7174" width="15.75" style="1053" customWidth="1"/>
    <col min="7175" max="7175" width="12.5" style="1053" customWidth="1"/>
    <col min="7176" max="7424" width="9" style="1053"/>
    <col min="7425" max="7425" width="17.25" style="1053" customWidth="1"/>
    <col min="7426" max="7426" width="18.125" style="1053" customWidth="1"/>
    <col min="7427" max="7427" width="12.25" style="1053" customWidth="1"/>
    <col min="7428" max="7428" width="8.5" style="1053" customWidth="1"/>
    <col min="7429" max="7429" width="9.5" style="1053" customWidth="1"/>
    <col min="7430" max="7430" width="15.75" style="1053" customWidth="1"/>
    <col min="7431" max="7431" width="12.5" style="1053" customWidth="1"/>
    <col min="7432" max="7680" width="9" style="1053"/>
    <col min="7681" max="7681" width="17.25" style="1053" customWidth="1"/>
    <col min="7682" max="7682" width="18.125" style="1053" customWidth="1"/>
    <col min="7683" max="7683" width="12.25" style="1053" customWidth="1"/>
    <col min="7684" max="7684" width="8.5" style="1053" customWidth="1"/>
    <col min="7685" max="7685" width="9.5" style="1053" customWidth="1"/>
    <col min="7686" max="7686" width="15.75" style="1053" customWidth="1"/>
    <col min="7687" max="7687" width="12.5" style="1053" customWidth="1"/>
    <col min="7688" max="7936" width="9" style="1053"/>
    <col min="7937" max="7937" width="17.25" style="1053" customWidth="1"/>
    <col min="7938" max="7938" width="18.125" style="1053" customWidth="1"/>
    <col min="7939" max="7939" width="12.25" style="1053" customWidth="1"/>
    <col min="7940" max="7940" width="8.5" style="1053" customWidth="1"/>
    <col min="7941" max="7941" width="9.5" style="1053" customWidth="1"/>
    <col min="7942" max="7942" width="15.75" style="1053" customWidth="1"/>
    <col min="7943" max="7943" width="12.5" style="1053" customWidth="1"/>
    <col min="7944" max="8192" width="9" style="1053"/>
    <col min="8193" max="8193" width="17.25" style="1053" customWidth="1"/>
    <col min="8194" max="8194" width="18.125" style="1053" customWidth="1"/>
    <col min="8195" max="8195" width="12.25" style="1053" customWidth="1"/>
    <col min="8196" max="8196" width="8.5" style="1053" customWidth="1"/>
    <col min="8197" max="8197" width="9.5" style="1053" customWidth="1"/>
    <col min="8198" max="8198" width="15.75" style="1053" customWidth="1"/>
    <col min="8199" max="8199" width="12.5" style="1053" customWidth="1"/>
    <col min="8200" max="8448" width="9" style="1053"/>
    <col min="8449" max="8449" width="17.25" style="1053" customWidth="1"/>
    <col min="8450" max="8450" width="18.125" style="1053" customWidth="1"/>
    <col min="8451" max="8451" width="12.25" style="1053" customWidth="1"/>
    <col min="8452" max="8452" width="8.5" style="1053" customWidth="1"/>
    <col min="8453" max="8453" width="9.5" style="1053" customWidth="1"/>
    <col min="8454" max="8454" width="15.75" style="1053" customWidth="1"/>
    <col min="8455" max="8455" width="12.5" style="1053" customWidth="1"/>
    <col min="8456" max="8704" width="9" style="1053"/>
    <col min="8705" max="8705" width="17.25" style="1053" customWidth="1"/>
    <col min="8706" max="8706" width="18.125" style="1053" customWidth="1"/>
    <col min="8707" max="8707" width="12.25" style="1053" customWidth="1"/>
    <col min="8708" max="8708" width="8.5" style="1053" customWidth="1"/>
    <col min="8709" max="8709" width="9.5" style="1053" customWidth="1"/>
    <col min="8710" max="8710" width="15.75" style="1053" customWidth="1"/>
    <col min="8711" max="8711" width="12.5" style="1053" customWidth="1"/>
    <col min="8712" max="8960" width="9" style="1053"/>
    <col min="8961" max="8961" width="17.25" style="1053" customWidth="1"/>
    <col min="8962" max="8962" width="18.125" style="1053" customWidth="1"/>
    <col min="8963" max="8963" width="12.25" style="1053" customWidth="1"/>
    <col min="8964" max="8964" width="8.5" style="1053" customWidth="1"/>
    <col min="8965" max="8965" width="9.5" style="1053" customWidth="1"/>
    <col min="8966" max="8966" width="15.75" style="1053" customWidth="1"/>
    <col min="8967" max="8967" width="12.5" style="1053" customWidth="1"/>
    <col min="8968" max="9216" width="9" style="1053"/>
    <col min="9217" max="9217" width="17.25" style="1053" customWidth="1"/>
    <col min="9218" max="9218" width="18.125" style="1053" customWidth="1"/>
    <col min="9219" max="9219" width="12.25" style="1053" customWidth="1"/>
    <col min="9220" max="9220" width="8.5" style="1053" customWidth="1"/>
    <col min="9221" max="9221" width="9.5" style="1053" customWidth="1"/>
    <col min="9222" max="9222" width="15.75" style="1053" customWidth="1"/>
    <col min="9223" max="9223" width="12.5" style="1053" customWidth="1"/>
    <col min="9224" max="9472" width="9" style="1053"/>
    <col min="9473" max="9473" width="17.25" style="1053" customWidth="1"/>
    <col min="9474" max="9474" width="18.125" style="1053" customWidth="1"/>
    <col min="9475" max="9475" width="12.25" style="1053" customWidth="1"/>
    <col min="9476" max="9476" width="8.5" style="1053" customWidth="1"/>
    <col min="9477" max="9477" width="9.5" style="1053" customWidth="1"/>
    <col min="9478" max="9478" width="15.75" style="1053" customWidth="1"/>
    <col min="9479" max="9479" width="12.5" style="1053" customWidth="1"/>
    <col min="9480" max="9728" width="9" style="1053"/>
    <col min="9729" max="9729" width="17.25" style="1053" customWidth="1"/>
    <col min="9730" max="9730" width="18.125" style="1053" customWidth="1"/>
    <col min="9731" max="9731" width="12.25" style="1053" customWidth="1"/>
    <col min="9732" max="9732" width="8.5" style="1053" customWidth="1"/>
    <col min="9733" max="9733" width="9.5" style="1053" customWidth="1"/>
    <col min="9734" max="9734" width="15.75" style="1053" customWidth="1"/>
    <col min="9735" max="9735" width="12.5" style="1053" customWidth="1"/>
    <col min="9736" max="9984" width="9" style="1053"/>
    <col min="9985" max="9985" width="17.25" style="1053" customWidth="1"/>
    <col min="9986" max="9986" width="18.125" style="1053" customWidth="1"/>
    <col min="9987" max="9987" width="12.25" style="1053" customWidth="1"/>
    <col min="9988" max="9988" width="8.5" style="1053" customWidth="1"/>
    <col min="9989" max="9989" width="9.5" style="1053" customWidth="1"/>
    <col min="9990" max="9990" width="15.75" style="1053" customWidth="1"/>
    <col min="9991" max="9991" width="12.5" style="1053" customWidth="1"/>
    <col min="9992" max="10240" width="9" style="1053"/>
    <col min="10241" max="10241" width="17.25" style="1053" customWidth="1"/>
    <col min="10242" max="10242" width="18.125" style="1053" customWidth="1"/>
    <col min="10243" max="10243" width="12.25" style="1053" customWidth="1"/>
    <col min="10244" max="10244" width="8.5" style="1053" customWidth="1"/>
    <col min="10245" max="10245" width="9.5" style="1053" customWidth="1"/>
    <col min="10246" max="10246" width="15.75" style="1053" customWidth="1"/>
    <col min="10247" max="10247" width="12.5" style="1053" customWidth="1"/>
    <col min="10248" max="10496" width="9" style="1053"/>
    <col min="10497" max="10497" width="17.25" style="1053" customWidth="1"/>
    <col min="10498" max="10498" width="18.125" style="1053" customWidth="1"/>
    <col min="10499" max="10499" width="12.25" style="1053" customWidth="1"/>
    <col min="10500" max="10500" width="8.5" style="1053" customWidth="1"/>
    <col min="10501" max="10501" width="9.5" style="1053" customWidth="1"/>
    <col min="10502" max="10502" width="15.75" style="1053" customWidth="1"/>
    <col min="10503" max="10503" width="12.5" style="1053" customWidth="1"/>
    <col min="10504" max="10752" width="9" style="1053"/>
    <col min="10753" max="10753" width="17.25" style="1053" customWidth="1"/>
    <col min="10754" max="10754" width="18.125" style="1053" customWidth="1"/>
    <col min="10755" max="10755" width="12.25" style="1053" customWidth="1"/>
    <col min="10756" max="10756" width="8.5" style="1053" customWidth="1"/>
    <col min="10757" max="10757" width="9.5" style="1053" customWidth="1"/>
    <col min="10758" max="10758" width="15.75" style="1053" customWidth="1"/>
    <col min="10759" max="10759" width="12.5" style="1053" customWidth="1"/>
    <col min="10760" max="11008" width="9" style="1053"/>
    <col min="11009" max="11009" width="17.25" style="1053" customWidth="1"/>
    <col min="11010" max="11010" width="18.125" style="1053" customWidth="1"/>
    <col min="11011" max="11011" width="12.25" style="1053" customWidth="1"/>
    <col min="11012" max="11012" width="8.5" style="1053" customWidth="1"/>
    <col min="11013" max="11013" width="9.5" style="1053" customWidth="1"/>
    <col min="11014" max="11014" width="15.75" style="1053" customWidth="1"/>
    <col min="11015" max="11015" width="12.5" style="1053" customWidth="1"/>
    <col min="11016" max="11264" width="9" style="1053"/>
    <col min="11265" max="11265" width="17.25" style="1053" customWidth="1"/>
    <col min="11266" max="11266" width="18.125" style="1053" customWidth="1"/>
    <col min="11267" max="11267" width="12.25" style="1053" customWidth="1"/>
    <col min="11268" max="11268" width="8.5" style="1053" customWidth="1"/>
    <col min="11269" max="11269" width="9.5" style="1053" customWidth="1"/>
    <col min="11270" max="11270" width="15.75" style="1053" customWidth="1"/>
    <col min="11271" max="11271" width="12.5" style="1053" customWidth="1"/>
    <col min="11272" max="11520" width="9" style="1053"/>
    <col min="11521" max="11521" width="17.25" style="1053" customWidth="1"/>
    <col min="11522" max="11522" width="18.125" style="1053" customWidth="1"/>
    <col min="11523" max="11523" width="12.25" style="1053" customWidth="1"/>
    <col min="11524" max="11524" width="8.5" style="1053" customWidth="1"/>
    <col min="11525" max="11525" width="9.5" style="1053" customWidth="1"/>
    <col min="11526" max="11526" width="15.75" style="1053" customWidth="1"/>
    <col min="11527" max="11527" width="12.5" style="1053" customWidth="1"/>
    <col min="11528" max="11776" width="9" style="1053"/>
    <col min="11777" max="11777" width="17.25" style="1053" customWidth="1"/>
    <col min="11778" max="11778" width="18.125" style="1053" customWidth="1"/>
    <col min="11779" max="11779" width="12.25" style="1053" customWidth="1"/>
    <col min="11780" max="11780" width="8.5" style="1053" customWidth="1"/>
    <col min="11781" max="11781" width="9.5" style="1053" customWidth="1"/>
    <col min="11782" max="11782" width="15.75" style="1053" customWidth="1"/>
    <col min="11783" max="11783" width="12.5" style="1053" customWidth="1"/>
    <col min="11784" max="12032" width="9" style="1053"/>
    <col min="12033" max="12033" width="17.25" style="1053" customWidth="1"/>
    <col min="12034" max="12034" width="18.125" style="1053" customWidth="1"/>
    <col min="12035" max="12035" width="12.25" style="1053" customWidth="1"/>
    <col min="12036" max="12036" width="8.5" style="1053" customWidth="1"/>
    <col min="12037" max="12037" width="9.5" style="1053" customWidth="1"/>
    <col min="12038" max="12038" width="15.75" style="1053" customWidth="1"/>
    <col min="12039" max="12039" width="12.5" style="1053" customWidth="1"/>
    <col min="12040" max="12288" width="9" style="1053"/>
    <col min="12289" max="12289" width="17.25" style="1053" customWidth="1"/>
    <col min="12290" max="12290" width="18.125" style="1053" customWidth="1"/>
    <col min="12291" max="12291" width="12.25" style="1053" customWidth="1"/>
    <col min="12292" max="12292" width="8.5" style="1053" customWidth="1"/>
    <col min="12293" max="12293" width="9.5" style="1053" customWidth="1"/>
    <col min="12294" max="12294" width="15.75" style="1053" customWidth="1"/>
    <col min="12295" max="12295" width="12.5" style="1053" customWidth="1"/>
    <col min="12296" max="12544" width="9" style="1053"/>
    <col min="12545" max="12545" width="17.25" style="1053" customWidth="1"/>
    <col min="12546" max="12546" width="18.125" style="1053" customWidth="1"/>
    <col min="12547" max="12547" width="12.25" style="1053" customWidth="1"/>
    <col min="12548" max="12548" width="8.5" style="1053" customWidth="1"/>
    <col min="12549" max="12549" width="9.5" style="1053" customWidth="1"/>
    <col min="12550" max="12550" width="15.75" style="1053" customWidth="1"/>
    <col min="12551" max="12551" width="12.5" style="1053" customWidth="1"/>
    <col min="12552" max="12800" width="9" style="1053"/>
    <col min="12801" max="12801" width="17.25" style="1053" customWidth="1"/>
    <col min="12802" max="12802" width="18.125" style="1053" customWidth="1"/>
    <col min="12803" max="12803" width="12.25" style="1053" customWidth="1"/>
    <col min="12804" max="12804" width="8.5" style="1053" customWidth="1"/>
    <col min="12805" max="12805" width="9.5" style="1053" customWidth="1"/>
    <col min="12806" max="12806" width="15.75" style="1053" customWidth="1"/>
    <col min="12807" max="12807" width="12.5" style="1053" customWidth="1"/>
    <col min="12808" max="13056" width="9" style="1053"/>
    <col min="13057" max="13057" width="17.25" style="1053" customWidth="1"/>
    <col min="13058" max="13058" width="18.125" style="1053" customWidth="1"/>
    <col min="13059" max="13059" width="12.25" style="1053" customWidth="1"/>
    <col min="13060" max="13060" width="8.5" style="1053" customWidth="1"/>
    <col min="13061" max="13061" width="9.5" style="1053" customWidth="1"/>
    <col min="13062" max="13062" width="15.75" style="1053" customWidth="1"/>
    <col min="13063" max="13063" width="12.5" style="1053" customWidth="1"/>
    <col min="13064" max="13312" width="9" style="1053"/>
    <col min="13313" max="13313" width="17.25" style="1053" customWidth="1"/>
    <col min="13314" max="13314" width="18.125" style="1053" customWidth="1"/>
    <col min="13315" max="13315" width="12.25" style="1053" customWidth="1"/>
    <col min="13316" max="13316" width="8.5" style="1053" customWidth="1"/>
    <col min="13317" max="13317" width="9.5" style="1053" customWidth="1"/>
    <col min="13318" max="13318" width="15.75" style="1053" customWidth="1"/>
    <col min="13319" max="13319" width="12.5" style="1053" customWidth="1"/>
    <col min="13320" max="13568" width="9" style="1053"/>
    <col min="13569" max="13569" width="17.25" style="1053" customWidth="1"/>
    <col min="13570" max="13570" width="18.125" style="1053" customWidth="1"/>
    <col min="13571" max="13571" width="12.25" style="1053" customWidth="1"/>
    <col min="13572" max="13572" width="8.5" style="1053" customWidth="1"/>
    <col min="13573" max="13573" width="9.5" style="1053" customWidth="1"/>
    <col min="13574" max="13574" width="15.75" style="1053" customWidth="1"/>
    <col min="13575" max="13575" width="12.5" style="1053" customWidth="1"/>
    <col min="13576" max="13824" width="9" style="1053"/>
    <col min="13825" max="13825" width="17.25" style="1053" customWidth="1"/>
    <col min="13826" max="13826" width="18.125" style="1053" customWidth="1"/>
    <col min="13827" max="13827" width="12.25" style="1053" customWidth="1"/>
    <col min="13828" max="13828" width="8.5" style="1053" customWidth="1"/>
    <col min="13829" max="13829" width="9.5" style="1053" customWidth="1"/>
    <col min="13830" max="13830" width="15.75" style="1053" customWidth="1"/>
    <col min="13831" max="13831" width="12.5" style="1053" customWidth="1"/>
    <col min="13832" max="14080" width="9" style="1053"/>
    <col min="14081" max="14081" width="17.25" style="1053" customWidth="1"/>
    <col min="14082" max="14082" width="18.125" style="1053" customWidth="1"/>
    <col min="14083" max="14083" width="12.25" style="1053" customWidth="1"/>
    <col min="14084" max="14084" width="8.5" style="1053" customWidth="1"/>
    <col min="14085" max="14085" width="9.5" style="1053" customWidth="1"/>
    <col min="14086" max="14086" width="15.75" style="1053" customWidth="1"/>
    <col min="14087" max="14087" width="12.5" style="1053" customWidth="1"/>
    <col min="14088" max="14336" width="9" style="1053"/>
    <col min="14337" max="14337" width="17.25" style="1053" customWidth="1"/>
    <col min="14338" max="14338" width="18.125" style="1053" customWidth="1"/>
    <col min="14339" max="14339" width="12.25" style="1053" customWidth="1"/>
    <col min="14340" max="14340" width="8.5" style="1053" customWidth="1"/>
    <col min="14341" max="14341" width="9.5" style="1053" customWidth="1"/>
    <col min="14342" max="14342" width="15.75" style="1053" customWidth="1"/>
    <col min="14343" max="14343" width="12.5" style="1053" customWidth="1"/>
    <col min="14344" max="14592" width="9" style="1053"/>
    <col min="14593" max="14593" width="17.25" style="1053" customWidth="1"/>
    <col min="14594" max="14594" width="18.125" style="1053" customWidth="1"/>
    <col min="14595" max="14595" width="12.25" style="1053" customWidth="1"/>
    <col min="14596" max="14596" width="8.5" style="1053" customWidth="1"/>
    <col min="14597" max="14597" width="9.5" style="1053" customWidth="1"/>
    <col min="14598" max="14598" width="15.75" style="1053" customWidth="1"/>
    <col min="14599" max="14599" width="12.5" style="1053" customWidth="1"/>
    <col min="14600" max="14848" width="9" style="1053"/>
    <col min="14849" max="14849" width="17.25" style="1053" customWidth="1"/>
    <col min="14850" max="14850" width="18.125" style="1053" customWidth="1"/>
    <col min="14851" max="14851" width="12.25" style="1053" customWidth="1"/>
    <col min="14852" max="14852" width="8.5" style="1053" customWidth="1"/>
    <col min="14853" max="14853" width="9.5" style="1053" customWidth="1"/>
    <col min="14854" max="14854" width="15.75" style="1053" customWidth="1"/>
    <col min="14855" max="14855" width="12.5" style="1053" customWidth="1"/>
    <col min="14856" max="15104" width="9" style="1053"/>
    <col min="15105" max="15105" width="17.25" style="1053" customWidth="1"/>
    <col min="15106" max="15106" width="18.125" style="1053" customWidth="1"/>
    <col min="15107" max="15107" width="12.25" style="1053" customWidth="1"/>
    <col min="15108" max="15108" width="8.5" style="1053" customWidth="1"/>
    <col min="15109" max="15109" width="9.5" style="1053" customWidth="1"/>
    <col min="15110" max="15110" width="15.75" style="1053" customWidth="1"/>
    <col min="15111" max="15111" width="12.5" style="1053" customWidth="1"/>
    <col min="15112" max="15360" width="9" style="1053"/>
    <col min="15361" max="15361" width="17.25" style="1053" customWidth="1"/>
    <col min="15362" max="15362" width="18.125" style="1053" customWidth="1"/>
    <col min="15363" max="15363" width="12.25" style="1053" customWidth="1"/>
    <col min="15364" max="15364" width="8.5" style="1053" customWidth="1"/>
    <col min="15365" max="15365" width="9.5" style="1053" customWidth="1"/>
    <col min="15366" max="15366" width="15.75" style="1053" customWidth="1"/>
    <col min="15367" max="15367" width="12.5" style="1053" customWidth="1"/>
    <col min="15368" max="15616" width="9" style="1053"/>
    <col min="15617" max="15617" width="17.25" style="1053" customWidth="1"/>
    <col min="15618" max="15618" width="18.125" style="1053" customWidth="1"/>
    <col min="15619" max="15619" width="12.25" style="1053" customWidth="1"/>
    <col min="15620" max="15620" width="8.5" style="1053" customWidth="1"/>
    <col min="15621" max="15621" width="9.5" style="1053" customWidth="1"/>
    <col min="15622" max="15622" width="15.75" style="1053" customWidth="1"/>
    <col min="15623" max="15623" width="12.5" style="1053" customWidth="1"/>
    <col min="15624" max="15872" width="9" style="1053"/>
    <col min="15873" max="15873" width="17.25" style="1053" customWidth="1"/>
    <col min="15874" max="15874" width="18.125" style="1053" customWidth="1"/>
    <col min="15875" max="15875" width="12.25" style="1053" customWidth="1"/>
    <col min="15876" max="15876" width="8.5" style="1053" customWidth="1"/>
    <col min="15877" max="15877" width="9.5" style="1053" customWidth="1"/>
    <col min="15878" max="15878" width="15.75" style="1053" customWidth="1"/>
    <col min="15879" max="15879" width="12.5" style="1053" customWidth="1"/>
    <col min="15880" max="16128" width="9" style="1053"/>
    <col min="16129" max="16129" width="17.25" style="1053" customWidth="1"/>
    <col min="16130" max="16130" width="18.125" style="1053" customWidth="1"/>
    <col min="16131" max="16131" width="12.25" style="1053" customWidth="1"/>
    <col min="16132" max="16132" width="8.5" style="1053" customWidth="1"/>
    <col min="16133" max="16133" width="9.5" style="1053" customWidth="1"/>
    <col min="16134" max="16134" width="15.75" style="1053" customWidth="1"/>
    <col min="16135" max="16135" width="12.5" style="1053" customWidth="1"/>
    <col min="16136" max="16384" width="9" style="1053"/>
  </cols>
  <sheetData>
    <row r="1" spans="1:8" ht="15" customHeight="1">
      <c r="A1" s="1051" t="s">
        <v>449</v>
      </c>
      <c r="B1" s="1052"/>
      <c r="C1" s="1052"/>
      <c r="D1" s="1052"/>
      <c r="E1" s="2648" t="str">
        <f>H2&amp;"様式4"&amp;H3</f>
        <v>加-25_4月申-様式4-認_Ver.4.02</v>
      </c>
      <c r="F1" s="2648"/>
      <c r="H1" s="264" t="s">
        <v>1163</v>
      </c>
    </row>
    <row r="2" spans="1:8" ht="15" customHeight="1">
      <c r="A2" s="1052"/>
      <c r="B2" s="1052"/>
      <c r="C2" s="1052"/>
      <c r="D2" s="1052"/>
      <c r="E2" s="1052"/>
      <c r="F2" s="1052"/>
      <c r="H2" s="264" t="str">
        <f>【様式１】総括表・個票!$AJ$2</f>
        <v>加-25_4月申-</v>
      </c>
    </row>
    <row r="3" spans="1:8" ht="15" customHeight="1">
      <c r="A3" s="2628" t="str">
        <f>'【様式2】職員名簿 '!A2</f>
        <v>2025年度</v>
      </c>
      <c r="B3" s="2628"/>
      <c r="C3" s="2628"/>
      <c r="D3" s="1054" t="s">
        <v>16</v>
      </c>
      <c r="E3" s="1054" t="str">
        <f>'【様式2】職員名簿 '!H2</f>
        <v>【4月分】</v>
      </c>
      <c r="F3" s="1055"/>
      <c r="H3" s="264" t="str">
        <f>【様式１】総括表・個票!$AJ$3</f>
        <v>-認_Ver.4.02</v>
      </c>
    </row>
    <row r="4" spans="1:8" ht="15" customHeight="1" thickBot="1">
      <c r="A4" s="1051"/>
      <c r="B4" s="1051"/>
      <c r="C4" s="1051"/>
      <c r="D4" s="1056"/>
      <c r="E4" s="1057"/>
      <c r="F4" s="1057"/>
    </row>
    <row r="5" spans="1:8" s="1062" customFormat="1" ht="30" customHeight="1">
      <c r="A5" s="1058" t="s">
        <v>17</v>
      </c>
      <c r="B5" s="1059" t="s">
        <v>18</v>
      </c>
      <c r="C5" s="1059" t="s">
        <v>19</v>
      </c>
      <c r="D5" s="1060" t="s">
        <v>1223</v>
      </c>
      <c r="E5" s="1060" t="s">
        <v>20</v>
      </c>
      <c r="F5" s="1061" t="s">
        <v>21</v>
      </c>
    </row>
    <row r="6" spans="1:8" ht="30" customHeight="1">
      <c r="A6" s="2641"/>
      <c r="B6" s="1063"/>
      <c r="C6" s="1064"/>
      <c r="D6" s="2643"/>
      <c r="E6" s="2643"/>
      <c r="F6" s="2645"/>
    </row>
    <row r="7" spans="1:8" ht="30" customHeight="1">
      <c r="A7" s="2642"/>
      <c r="B7" s="1063"/>
      <c r="C7" s="1064"/>
      <c r="D7" s="2644"/>
      <c r="E7" s="2644"/>
      <c r="F7" s="2646"/>
    </row>
    <row r="8" spans="1:8" ht="30" customHeight="1">
      <c r="A8" s="2641"/>
      <c r="B8" s="1063"/>
      <c r="C8" s="1064"/>
      <c r="D8" s="2643"/>
      <c r="E8" s="2643"/>
      <c r="F8" s="2645"/>
    </row>
    <row r="9" spans="1:8" ht="30" customHeight="1">
      <c r="A9" s="2642"/>
      <c r="B9" s="1063"/>
      <c r="C9" s="1064"/>
      <c r="D9" s="2644"/>
      <c r="E9" s="2644"/>
      <c r="F9" s="2646"/>
    </row>
    <row r="10" spans="1:8" ht="30" customHeight="1">
      <c r="A10" s="2641"/>
      <c r="B10" s="1063"/>
      <c r="C10" s="1064"/>
      <c r="D10" s="2643"/>
      <c r="E10" s="2643"/>
      <c r="F10" s="2645"/>
    </row>
    <row r="11" spans="1:8" ht="30" customHeight="1">
      <c r="A11" s="2642"/>
      <c r="B11" s="1063"/>
      <c r="C11" s="1064"/>
      <c r="D11" s="2644"/>
      <c r="E11" s="2644"/>
      <c r="F11" s="2646"/>
    </row>
    <row r="12" spans="1:8" ht="30" customHeight="1">
      <c r="A12" s="2641"/>
      <c r="B12" s="1063"/>
      <c r="C12" s="1064"/>
      <c r="D12" s="2643"/>
      <c r="E12" s="2643"/>
      <c r="F12" s="2645"/>
    </row>
    <row r="13" spans="1:8" ht="30" customHeight="1">
      <c r="A13" s="2642"/>
      <c r="B13" s="1063"/>
      <c r="C13" s="1064"/>
      <c r="D13" s="2644"/>
      <c r="E13" s="2644"/>
      <c r="F13" s="2646"/>
    </row>
    <row r="14" spans="1:8" ht="30" customHeight="1">
      <c r="A14" s="2641"/>
      <c r="B14" s="1063"/>
      <c r="C14" s="1064"/>
      <c r="D14" s="2643"/>
      <c r="E14" s="2643"/>
      <c r="F14" s="2645"/>
    </row>
    <row r="15" spans="1:8" ht="30" customHeight="1">
      <c r="A15" s="2642"/>
      <c r="B15" s="1063"/>
      <c r="C15" s="1064"/>
      <c r="D15" s="2644"/>
      <c r="E15" s="2644"/>
      <c r="F15" s="2646"/>
    </row>
    <row r="16" spans="1:8" ht="30" customHeight="1">
      <c r="A16" s="2641"/>
      <c r="B16" s="1063"/>
      <c r="C16" s="1064"/>
      <c r="D16" s="2643"/>
      <c r="E16" s="2643"/>
      <c r="F16" s="2645"/>
    </row>
    <row r="17" spans="1:6" ht="30" customHeight="1">
      <c r="A17" s="2642"/>
      <c r="B17" s="1063"/>
      <c r="C17" s="1064"/>
      <c r="D17" s="2644"/>
      <c r="E17" s="2644"/>
      <c r="F17" s="2646"/>
    </row>
    <row r="18" spans="1:6" ht="30" customHeight="1">
      <c r="A18" s="2641"/>
      <c r="B18" s="1063"/>
      <c r="C18" s="1064"/>
      <c r="D18" s="2643"/>
      <c r="E18" s="2643"/>
      <c r="F18" s="2645"/>
    </row>
    <row r="19" spans="1:6" ht="30" customHeight="1">
      <c r="A19" s="2642"/>
      <c r="B19" s="1063"/>
      <c r="C19" s="1064"/>
      <c r="D19" s="2644"/>
      <c r="E19" s="2644"/>
      <c r="F19" s="2646"/>
    </row>
    <row r="20" spans="1:6" ht="30" customHeight="1">
      <c r="A20" s="2641"/>
      <c r="B20" s="1063"/>
      <c r="C20" s="1064"/>
      <c r="D20" s="2643"/>
      <c r="E20" s="2643"/>
      <c r="F20" s="2645"/>
    </row>
    <row r="21" spans="1:6" ht="30" customHeight="1">
      <c r="A21" s="2642"/>
      <c r="B21" s="1063"/>
      <c r="C21" s="1064"/>
      <c r="D21" s="2644"/>
      <c r="E21" s="2644"/>
      <c r="F21" s="2646"/>
    </row>
    <row r="22" spans="1:6" ht="30" customHeight="1">
      <c r="A22" s="2641"/>
      <c r="B22" s="1063"/>
      <c r="C22" s="1064"/>
      <c r="D22" s="2643"/>
      <c r="E22" s="2643"/>
      <c r="F22" s="2645"/>
    </row>
    <row r="23" spans="1:6" ht="30" customHeight="1">
      <c r="A23" s="2642"/>
      <c r="B23" s="1063"/>
      <c r="C23" s="1064"/>
      <c r="D23" s="2644"/>
      <c r="E23" s="2644"/>
      <c r="F23" s="2646"/>
    </row>
    <row r="24" spans="1:6" ht="30" customHeight="1">
      <c r="A24" s="2641"/>
      <c r="B24" s="1063"/>
      <c r="C24" s="1064"/>
      <c r="D24" s="2643"/>
      <c r="E24" s="2643"/>
      <c r="F24" s="2645"/>
    </row>
    <row r="25" spans="1:6" ht="30" customHeight="1" thickBot="1">
      <c r="A25" s="2642"/>
      <c r="B25" s="1063"/>
      <c r="C25" s="1064"/>
      <c r="D25" s="2644"/>
      <c r="E25" s="2644"/>
      <c r="F25" s="2646"/>
    </row>
    <row r="26" spans="1:6" ht="30" customHeight="1">
      <c r="A26" s="2629" t="s">
        <v>22</v>
      </c>
      <c r="B26" s="2631" t="s">
        <v>23</v>
      </c>
      <c r="C26" s="2632"/>
      <c r="D26" s="2633"/>
      <c r="E26" s="2634"/>
      <c r="F26" s="2635"/>
    </row>
    <row r="27" spans="1:6" ht="30" customHeight="1" thickBot="1">
      <c r="A27" s="2630"/>
      <c r="B27" s="2639">
        <f>SUM(C6:C25)</f>
        <v>0</v>
      </c>
      <c r="C27" s="2640">
        <v>0</v>
      </c>
      <c r="D27" s="2636"/>
      <c r="E27" s="2637"/>
      <c r="F27" s="2638"/>
    </row>
    <row r="28" spans="1:6" ht="15" customHeight="1">
      <c r="A28" s="1052"/>
      <c r="B28" s="1052"/>
      <c r="C28" s="1052"/>
      <c r="D28" s="1052"/>
      <c r="E28" s="1052"/>
      <c r="F28" s="1052"/>
    </row>
    <row r="29" spans="1:6" ht="15" customHeight="1">
      <c r="A29" s="2649" t="s">
        <v>341</v>
      </c>
      <c r="B29" s="2649"/>
      <c r="C29" s="2649"/>
      <c r="D29" s="2649"/>
      <c r="E29" s="2649"/>
      <c r="F29" s="2649"/>
    </row>
    <row r="30" spans="1:6" ht="15" customHeight="1">
      <c r="A30" s="2647" t="s">
        <v>563</v>
      </c>
      <c r="B30" s="2647"/>
      <c r="C30" s="2647"/>
      <c r="D30" s="2647"/>
      <c r="E30" s="2647"/>
      <c r="F30" s="2647"/>
    </row>
    <row r="31" spans="1:6" ht="15" customHeight="1">
      <c r="A31" s="2647" t="s">
        <v>564</v>
      </c>
      <c r="B31" s="2647"/>
      <c r="C31" s="2647"/>
      <c r="D31" s="2647"/>
      <c r="E31" s="2647"/>
      <c r="F31" s="2647"/>
    </row>
    <row r="32" spans="1:6" ht="15" customHeight="1">
      <c r="A32" s="2647" t="s">
        <v>565</v>
      </c>
      <c r="B32" s="2647"/>
      <c r="C32" s="2647"/>
      <c r="D32" s="2647"/>
      <c r="E32" s="2647"/>
      <c r="F32" s="2647"/>
    </row>
    <row r="33" spans="11:20" ht="10.5" customHeight="1"/>
    <row r="34" spans="11:20" ht="12.75" customHeight="1">
      <c r="K34" s="1062"/>
      <c r="N34" s="2627"/>
      <c r="O34" s="2627"/>
      <c r="P34" s="2627"/>
      <c r="Q34" s="2627"/>
      <c r="R34" s="2627"/>
      <c r="S34" s="2627"/>
      <c r="T34" s="2627"/>
    </row>
  </sheetData>
  <sheetProtection selectLockedCells="1"/>
  <mergeCells count="51">
    <mergeCell ref="A24:A25"/>
    <mergeCell ref="D24:D25"/>
    <mergeCell ref="D10:D11"/>
    <mergeCell ref="A8:A9"/>
    <mergeCell ref="A10:A11"/>
    <mergeCell ref="A29:F29"/>
    <mergeCell ref="A30:F30"/>
    <mergeCell ref="E10:E11"/>
    <mergeCell ref="D12:D13"/>
    <mergeCell ref="E12:E13"/>
    <mergeCell ref="F12:F13"/>
    <mergeCell ref="E24:E25"/>
    <mergeCell ref="F24:F25"/>
    <mergeCell ref="A18:A19"/>
    <mergeCell ref="D18:D19"/>
    <mergeCell ref="E18:E19"/>
    <mergeCell ref="F18:F19"/>
    <mergeCell ref="A20:A21"/>
    <mergeCell ref="D20:D21"/>
    <mergeCell ref="E20:E21"/>
    <mergeCell ref="F20:F21"/>
    <mergeCell ref="E1:F1"/>
    <mergeCell ref="A22:A23"/>
    <mergeCell ref="D22:D23"/>
    <mergeCell ref="E22:E23"/>
    <mergeCell ref="F22:F23"/>
    <mergeCell ref="A14:A15"/>
    <mergeCell ref="D14:D15"/>
    <mergeCell ref="E14:E15"/>
    <mergeCell ref="F14:F15"/>
    <mergeCell ref="A16:A17"/>
    <mergeCell ref="D16:D17"/>
    <mergeCell ref="E16:E17"/>
    <mergeCell ref="F16:F17"/>
    <mergeCell ref="F10:F11"/>
    <mergeCell ref="N34:T34"/>
    <mergeCell ref="A3:C3"/>
    <mergeCell ref="A26:A27"/>
    <mergeCell ref="B26:C26"/>
    <mergeCell ref="D26:F27"/>
    <mergeCell ref="B27:C27"/>
    <mergeCell ref="A6:A7"/>
    <mergeCell ref="D6:D7"/>
    <mergeCell ref="E6:E7"/>
    <mergeCell ref="F6:F7"/>
    <mergeCell ref="D8:D9"/>
    <mergeCell ref="E8:E9"/>
    <mergeCell ref="F8:F9"/>
    <mergeCell ref="A31:F31"/>
    <mergeCell ref="A32:F32"/>
    <mergeCell ref="A12:A13"/>
  </mergeCells>
  <phoneticPr fontId="1"/>
  <pageMargins left="0.78740157480314965" right="0.78740157480314965" top="0.51181102362204722" bottom="0.51181102362204722" header="0.51181102362204722" footer="0.51181102362204722"/>
  <pageSetup paperSize="9" fitToHeight="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FF0000"/>
  </sheetPr>
  <dimension ref="A1:BW216"/>
  <sheetViews>
    <sheetView view="pageBreakPreview" zoomScale="90" zoomScaleNormal="100" zoomScaleSheetLayoutView="90" workbookViewId="0">
      <selection activeCell="A31" sqref="A31:A51"/>
    </sheetView>
  </sheetViews>
  <sheetFormatPr defaultColWidth="9" defaultRowHeight="13.5" outlineLevelRow="1" outlineLevelCol="1"/>
  <cols>
    <col min="1" max="1" width="10.75" style="78" customWidth="1"/>
    <col min="2" max="15" width="10.625" style="78" customWidth="1"/>
    <col min="16" max="16" width="53.125" style="78" customWidth="1"/>
    <col min="17" max="19" width="5.625" style="78" hidden="1" customWidth="1" outlineLevel="1"/>
    <col min="20" max="20" width="5.25" style="78" hidden="1" customWidth="1" outlineLevel="1"/>
    <col min="21" max="29" width="5.625" style="78" hidden="1" customWidth="1" outlineLevel="1"/>
    <col min="30" max="30" width="7" style="78" hidden="1" customWidth="1" outlineLevel="1"/>
    <col min="31" max="37" width="5.625" style="78" hidden="1" customWidth="1" outlineLevel="1"/>
    <col min="38" max="38" width="13.625" style="78" hidden="1" customWidth="1" outlineLevel="1"/>
    <col min="39" max="39" width="13.125" style="78" hidden="1" customWidth="1" outlineLevel="1"/>
    <col min="40" max="69" width="9" style="78" hidden="1" customWidth="1" outlineLevel="1"/>
    <col min="70" max="71" width="9" hidden="1" customWidth="1" outlineLevel="1"/>
    <col min="72" max="74" width="9" style="78" hidden="1" customWidth="1" outlineLevel="1"/>
    <col min="75" max="75" width="9" style="78" collapsed="1"/>
    <col min="76" max="16384" width="9" style="78"/>
  </cols>
  <sheetData>
    <row r="1" spans="1:75" ht="15" customHeight="1" thickBot="1">
      <c r="A1" s="149" t="s">
        <v>448</v>
      </c>
      <c r="B1" s="144"/>
      <c r="C1" s="144"/>
      <c r="D1" s="144"/>
      <c r="E1" s="144"/>
      <c r="F1" s="144"/>
      <c r="G1" s="144"/>
      <c r="H1" s="144"/>
      <c r="I1" s="144"/>
      <c r="J1" s="2360" t="str">
        <f>Q2&amp;"様式5"&amp;Q3</f>
        <v>加-25_4月申-様式5-認_Ver.4.02</v>
      </c>
      <c r="K1" s="2360"/>
      <c r="L1" s="2360"/>
      <c r="M1" s="2360"/>
      <c r="N1" s="2360"/>
      <c r="O1" s="2360"/>
      <c r="P1" s="139"/>
      <c r="Q1" s="264" t="s">
        <v>1163</v>
      </c>
      <c r="AM1" s="106" t="s">
        <v>777</v>
      </c>
      <c r="AN1" s="106" t="s">
        <v>778</v>
      </c>
      <c r="AO1" s="254" t="s">
        <v>84</v>
      </c>
      <c r="AP1" s="2979" t="s">
        <v>104</v>
      </c>
      <c r="AQ1" s="2979"/>
      <c r="AR1" s="106"/>
      <c r="AS1" s="106" t="s">
        <v>84</v>
      </c>
      <c r="AT1" s="376" t="s">
        <v>779</v>
      </c>
      <c r="AU1" s="2973" t="s">
        <v>780</v>
      </c>
      <c r="AV1" s="2974"/>
      <c r="AW1" s="2974"/>
      <c r="AX1" s="2974"/>
      <c r="AY1" s="2974"/>
      <c r="AZ1" s="2974"/>
      <c r="BA1" s="2974"/>
      <c r="BB1" s="2974"/>
      <c r="BC1" s="2974"/>
      <c r="BD1" s="2974"/>
      <c r="BE1" s="2974"/>
      <c r="BF1" s="2974"/>
      <c r="BG1" s="2974"/>
      <c r="BH1" s="2974"/>
      <c r="BI1" s="2974"/>
      <c r="BJ1" s="2974"/>
      <c r="BK1" s="2974"/>
      <c r="BL1" s="2974"/>
      <c r="BM1" s="2974"/>
      <c r="BN1" s="2974"/>
      <c r="BO1" s="2974"/>
      <c r="BP1" s="2974"/>
      <c r="BQ1" s="2974"/>
      <c r="BR1" s="2974"/>
      <c r="BS1" s="2974"/>
      <c r="BT1" s="2974"/>
      <c r="BU1" s="2974"/>
      <c r="BV1" s="2975"/>
      <c r="BW1" s="146"/>
    </row>
    <row r="2" spans="1:75" ht="15" customHeight="1" thickBot="1">
      <c r="A2" s="144"/>
      <c r="B2" s="144"/>
      <c r="C2" s="144"/>
      <c r="D2" s="144"/>
      <c r="E2" s="144"/>
      <c r="F2" s="144"/>
      <c r="G2" s="144"/>
      <c r="H2" s="144"/>
      <c r="I2" s="144"/>
      <c r="J2" s="144"/>
      <c r="K2" s="144"/>
      <c r="L2" s="210"/>
      <c r="M2" s="144"/>
      <c r="N2" s="210"/>
      <c r="O2" s="210"/>
      <c r="P2" s="139"/>
      <c r="Q2" s="264" t="str">
        <f>【様式１】総括表・個票!$AJ$2</f>
        <v>加-25_4月申-</v>
      </c>
      <c r="AM2" s="377" t="b">
        <f>AND(OR(AM3&gt;0,AM4&gt;0),ISNUMBER(AM3))</f>
        <v>0</v>
      </c>
      <c r="AN2" s="106">
        <f>'【様式2】職員名簿 '!$G$5</f>
        <v>0</v>
      </c>
      <c r="AO2" s="254"/>
      <c r="AP2" s="106">
        <v>1</v>
      </c>
      <c r="AQ2" s="106">
        <v>1</v>
      </c>
      <c r="AR2" s="106"/>
      <c r="AS2" s="106"/>
      <c r="AT2" s="376" t="str">
        <f>'【様式2】職員名簿 '!AC28</f>
        <v>施設長</v>
      </c>
      <c r="AU2" s="2976" t="s">
        <v>781</v>
      </c>
      <c r="AV2" s="2342"/>
      <c r="AW2" s="2342"/>
      <c r="AX2" s="2342"/>
      <c r="AY2" s="2342"/>
      <c r="AZ2" s="2976" t="s">
        <v>782</v>
      </c>
      <c r="BA2" s="2977"/>
      <c r="BB2" s="2978" t="s">
        <v>970</v>
      </c>
      <c r="BC2" s="2977"/>
      <c r="BD2" s="2978" t="s">
        <v>971</v>
      </c>
      <c r="BE2" s="2977"/>
      <c r="BF2" s="2976" t="s">
        <v>1643</v>
      </c>
      <c r="BG2" s="2977"/>
      <c r="BH2" s="2976" t="s">
        <v>157</v>
      </c>
      <c r="BI2" s="2977"/>
      <c r="BJ2" s="2976" t="s">
        <v>975</v>
      </c>
      <c r="BK2" s="2977"/>
      <c r="BL2" s="2976" t="s">
        <v>783</v>
      </c>
      <c r="BM2" s="2977"/>
      <c r="BN2" s="2976" t="s">
        <v>770</v>
      </c>
      <c r="BO2" s="2977"/>
      <c r="BP2" s="2976" t="s">
        <v>784</v>
      </c>
      <c r="BQ2" s="2342"/>
      <c r="BR2" s="2978" t="s">
        <v>6</v>
      </c>
      <c r="BS2" s="2977"/>
      <c r="BT2" s="2976" t="s">
        <v>785</v>
      </c>
      <c r="BU2" s="2342"/>
      <c r="BV2" s="2342"/>
    </row>
    <row r="3" spans="1:75" ht="15" customHeight="1" thickTop="1" thickBot="1">
      <c r="A3" s="144"/>
      <c r="B3" s="2980" t="str">
        <f>'【様式2】職員名簿 '!$A$2</f>
        <v>2025年度</v>
      </c>
      <c r="C3" s="2980"/>
      <c r="D3" s="2997" t="s">
        <v>786</v>
      </c>
      <c r="E3" s="2997"/>
      <c r="F3" s="2997"/>
      <c r="G3" s="2997"/>
      <c r="H3" s="2997"/>
      <c r="I3" s="2997"/>
      <c r="J3" s="2997"/>
      <c r="K3" s="2997" t="str">
        <f>+"【"&amp;【様式１】総括表・個票!I10&amp;"月分】"</f>
        <v>【4月分】</v>
      </c>
      <c r="L3" s="2997"/>
      <c r="M3" s="378"/>
      <c r="N3" s="378"/>
      <c r="O3" s="378"/>
      <c r="P3" s="379"/>
      <c r="Q3" s="264" t="str">
        <f>【様式１】総括表・個票!$AJ$3</f>
        <v>-認_Ver.4.02</v>
      </c>
      <c r="AL3" s="380" t="s">
        <v>966</v>
      </c>
      <c r="AM3" s="381">
        <f>AN2/2</f>
        <v>0</v>
      </c>
      <c r="AO3" s="254" t="s">
        <v>69</v>
      </c>
      <c r="AP3" s="106">
        <v>46</v>
      </c>
      <c r="AQ3" s="106">
        <v>2</v>
      </c>
      <c r="AR3" s="106">
        <v>1</v>
      </c>
      <c r="AS3" s="106" t="str">
        <f t="shared" ref="AS3:AS15" si="0">IFERROR(IF(AND($M$185&gt;=0,AR3&lt;=$J$63),AR3,""),"")</f>
        <v/>
      </c>
      <c r="AT3" s="376" t="str">
        <f>'【様式2】職員名簿 '!AC29</f>
        <v>副園長・教頭</v>
      </c>
      <c r="AU3" s="247"/>
      <c r="AV3" s="170"/>
      <c r="AW3" s="170"/>
      <c r="AX3" s="170" t="str">
        <f>AT3</f>
        <v>副園長・教頭</v>
      </c>
      <c r="AY3" s="783"/>
      <c r="AZ3" s="247" t="str">
        <f>AT2</f>
        <v>施設長</v>
      </c>
      <c r="BA3" s="2946" t="s">
        <v>787</v>
      </c>
      <c r="BB3" s="247" t="str">
        <f>AT4</f>
        <v>保育教諭（発令有）</v>
      </c>
      <c r="BC3" s="2946" t="s">
        <v>787</v>
      </c>
      <c r="BD3" s="247" t="str">
        <f>AT4</f>
        <v>保育教諭（発令有）</v>
      </c>
      <c r="BE3" s="2946" t="s">
        <v>787</v>
      </c>
      <c r="BF3" s="247" t="str">
        <f>AT6</f>
        <v>栄養士等</v>
      </c>
      <c r="BG3" s="2946" t="s">
        <v>787</v>
      </c>
      <c r="BH3" s="247" t="str">
        <f>AT6</f>
        <v>栄養士等</v>
      </c>
      <c r="BI3" s="2946" t="s">
        <v>787</v>
      </c>
      <c r="BJ3" s="247" t="s">
        <v>91</v>
      </c>
      <c r="BK3" s="2946" t="s">
        <v>787</v>
      </c>
      <c r="BL3" s="247" t="str">
        <f>AT8</f>
        <v>事務員</v>
      </c>
      <c r="BM3" s="2946" t="s">
        <v>787</v>
      </c>
      <c r="BN3" s="247" t="str">
        <f>AT9</f>
        <v>学校医</v>
      </c>
      <c r="BO3" s="2946" t="s">
        <v>787</v>
      </c>
      <c r="BP3" s="247" t="s">
        <v>750</v>
      </c>
      <c r="BQ3" s="2954" t="s">
        <v>787</v>
      </c>
      <c r="BR3" s="247" t="str">
        <f>$AT$3</f>
        <v>副園長・教頭</v>
      </c>
      <c r="BS3" s="2946" t="s">
        <v>787</v>
      </c>
      <c r="BT3" s="382"/>
      <c r="BU3" s="383"/>
      <c r="BV3" s="326"/>
    </row>
    <row r="4" spans="1:75" ht="15" customHeight="1" thickTop="1" thickBot="1">
      <c r="A4" s="149" t="s">
        <v>493</v>
      </c>
      <c r="B4" s="144"/>
      <c r="C4" s="384"/>
      <c r="D4" s="384"/>
      <c r="E4" s="384"/>
      <c r="F4" s="385"/>
      <c r="G4" s="385"/>
      <c r="H4" s="385"/>
      <c r="I4" s="385"/>
      <c r="J4" s="386"/>
      <c r="K4" s="385"/>
      <c r="L4" s="386"/>
      <c r="M4" s="144"/>
      <c r="N4" s="144"/>
      <c r="O4" s="144"/>
      <c r="AL4" s="380" t="s">
        <v>965</v>
      </c>
      <c r="AM4" s="381">
        <f>AN2/5*2</f>
        <v>0</v>
      </c>
      <c r="AO4" s="254" t="s">
        <v>249</v>
      </c>
      <c r="AP4" s="106">
        <v>151</v>
      </c>
      <c r="AQ4" s="106">
        <v>3</v>
      </c>
      <c r="AR4" s="106">
        <v>2</v>
      </c>
      <c r="AS4" s="106" t="str">
        <f t="shared" si="0"/>
        <v/>
      </c>
      <c r="AT4" s="376" t="str">
        <f>'【様式2】職員名簿 '!AC30</f>
        <v>保育教諭（発令有）</v>
      </c>
      <c r="AU4" s="247"/>
      <c r="AV4" s="170"/>
      <c r="AW4" s="170"/>
      <c r="AX4" s="170" t="str">
        <f>AT4</f>
        <v>保育教諭（発令有）</v>
      </c>
      <c r="AY4" s="783"/>
      <c r="AZ4" s="785"/>
      <c r="BA4" s="2947"/>
      <c r="BB4" s="78" t="str">
        <f>AT3</f>
        <v>副園長・教頭</v>
      </c>
      <c r="BC4" s="2947"/>
      <c r="BD4" s="785" t="str">
        <f>AT3</f>
        <v>副園長・教頭</v>
      </c>
      <c r="BE4" s="2947"/>
      <c r="BG4" s="2947"/>
      <c r="BH4" s="247" t="str">
        <f>AT7</f>
        <v>調理員</v>
      </c>
      <c r="BI4" s="2947"/>
      <c r="BJ4" s="247" t="str">
        <f>AT8</f>
        <v>事務員</v>
      </c>
      <c r="BK4" s="2947"/>
      <c r="BM4" s="2947"/>
      <c r="BO4" s="2947"/>
      <c r="BQ4" s="2955"/>
      <c r="BR4" s="740"/>
      <c r="BS4" s="2947"/>
      <c r="BT4" s="382"/>
      <c r="BU4" s="383"/>
      <c r="BV4" s="326"/>
    </row>
    <row r="5" spans="1:75" ht="15" customHeight="1" thickTop="1" thickBot="1">
      <c r="A5" s="144" t="s">
        <v>788</v>
      </c>
      <c r="B5" s="144"/>
      <c r="C5" s="144"/>
      <c r="D5" s="144"/>
      <c r="E5" s="144"/>
      <c r="F5" s="144"/>
      <c r="G5" s="144"/>
      <c r="H5" s="144"/>
      <c r="I5" s="144"/>
      <c r="J5" s="144"/>
      <c r="K5" s="144"/>
      <c r="L5" s="182"/>
      <c r="M5" s="144"/>
      <c r="N5" s="182"/>
      <c r="O5" s="182"/>
      <c r="P5" s="136"/>
      <c r="AP5" s="106">
        <v>241</v>
      </c>
      <c r="AQ5" s="106">
        <v>3.5</v>
      </c>
      <c r="AR5" s="106">
        <v>3</v>
      </c>
      <c r="AS5" s="106" t="str">
        <f t="shared" si="0"/>
        <v/>
      </c>
      <c r="AT5" s="376" t="str">
        <f>'【様式2】職員名簿 '!AC31</f>
        <v>保育教諭（発令無）</v>
      </c>
      <c r="AU5" s="256"/>
      <c r="AV5" s="258"/>
      <c r="AW5" s="258"/>
      <c r="AX5" s="258"/>
      <c r="AY5" s="952"/>
      <c r="AZ5" s="387"/>
      <c r="BA5" s="2948"/>
      <c r="BB5" s="790"/>
      <c r="BC5" s="2948"/>
      <c r="BD5" s="78" t="s">
        <v>91</v>
      </c>
      <c r="BE5" s="2948"/>
      <c r="BF5" s="790"/>
      <c r="BG5" s="2948"/>
      <c r="BI5" s="2948"/>
      <c r="BK5" s="2948"/>
      <c r="BL5" s="790"/>
      <c r="BM5" s="2948"/>
      <c r="BN5" s="790"/>
      <c r="BO5" s="2948"/>
      <c r="BP5" s="790"/>
      <c r="BQ5" s="2956"/>
      <c r="BR5" s="256"/>
      <c r="BS5" s="2948"/>
      <c r="BT5" s="388"/>
      <c r="BU5" s="389"/>
      <c r="BV5" s="390"/>
    </row>
    <row r="6" spans="1:75" ht="15" customHeight="1" thickTop="1" thickBot="1">
      <c r="A6" s="2981" t="s">
        <v>160</v>
      </c>
      <c r="B6" s="2924" t="s">
        <v>0</v>
      </c>
      <c r="C6" s="2924"/>
      <c r="D6" s="2983" t="s">
        <v>494</v>
      </c>
      <c r="E6" s="2984"/>
      <c r="F6" s="2984"/>
      <c r="G6" s="2984"/>
      <c r="H6" s="2984"/>
      <c r="I6" s="2984"/>
      <c r="J6" s="2984"/>
      <c r="K6" s="2984"/>
      <c r="L6" s="2984"/>
      <c r="M6" s="2984"/>
      <c r="N6" s="2951" t="s">
        <v>495</v>
      </c>
      <c r="O6" s="144"/>
      <c r="AP6" s="106">
        <v>271</v>
      </c>
      <c r="AQ6" s="106">
        <v>5</v>
      </c>
      <c r="AR6" s="106">
        <v>3.5</v>
      </c>
      <c r="AS6" s="106" t="str">
        <f t="shared" si="0"/>
        <v/>
      </c>
      <c r="AT6" s="376" t="str">
        <f>'【様式2】職員名簿 '!AC32</f>
        <v>栄養士等</v>
      </c>
      <c r="AU6" s="786" t="s">
        <v>789</v>
      </c>
      <c r="AV6" s="391" t="s">
        <v>10</v>
      </c>
      <c r="AW6" s="391" t="s">
        <v>790</v>
      </c>
      <c r="AX6" s="391" t="s">
        <v>791</v>
      </c>
      <c r="AY6" s="392" t="s">
        <v>727</v>
      </c>
      <c r="AZ6" s="157" t="s">
        <v>604</v>
      </c>
      <c r="BA6" s="791" t="s">
        <v>728</v>
      </c>
      <c r="BB6" s="392" t="s">
        <v>604</v>
      </c>
      <c r="BC6" s="791" t="s">
        <v>969</v>
      </c>
      <c r="BD6" s="392" t="s">
        <v>604</v>
      </c>
      <c r="BE6" s="791" t="s">
        <v>972</v>
      </c>
      <c r="BF6" s="393" t="s">
        <v>604</v>
      </c>
      <c r="BG6" s="791" t="s">
        <v>1643</v>
      </c>
      <c r="BH6" s="786" t="s">
        <v>604</v>
      </c>
      <c r="BI6" s="791" t="s">
        <v>157</v>
      </c>
      <c r="BJ6" s="786" t="s">
        <v>604</v>
      </c>
      <c r="BK6" s="791" t="s">
        <v>976</v>
      </c>
      <c r="BL6" s="786" t="s">
        <v>604</v>
      </c>
      <c r="BM6" s="791" t="s">
        <v>729</v>
      </c>
      <c r="BN6" s="786" t="s">
        <v>604</v>
      </c>
      <c r="BO6" s="791" t="s">
        <v>770</v>
      </c>
      <c r="BP6" s="786" t="s">
        <v>604</v>
      </c>
      <c r="BQ6" s="791" t="s">
        <v>792</v>
      </c>
      <c r="BR6" s="392" t="s">
        <v>604</v>
      </c>
      <c r="BS6" s="791" t="s">
        <v>6</v>
      </c>
      <c r="BT6" s="394"/>
      <c r="BU6" s="446" t="s">
        <v>1033</v>
      </c>
      <c r="BV6" s="395"/>
    </row>
    <row r="7" spans="1:75" ht="15" customHeight="1" thickBot="1">
      <c r="A7" s="2982"/>
      <c r="B7" s="2991" t="s">
        <v>130</v>
      </c>
      <c r="C7" s="2992"/>
      <c r="D7" s="397" t="s">
        <v>492</v>
      </c>
      <c r="E7" s="396" t="s">
        <v>793</v>
      </c>
      <c r="F7" s="849" t="s">
        <v>794</v>
      </c>
      <c r="G7" s="850" t="s">
        <v>795</v>
      </c>
      <c r="H7" s="850" t="s">
        <v>796</v>
      </c>
      <c r="I7" s="850" t="s">
        <v>797</v>
      </c>
      <c r="J7" s="851" t="s">
        <v>798</v>
      </c>
      <c r="K7" s="851" t="s">
        <v>799</v>
      </c>
      <c r="L7" s="852" t="s">
        <v>800</v>
      </c>
      <c r="M7" s="396" t="s">
        <v>15</v>
      </c>
      <c r="N7" s="2525"/>
      <c r="O7" s="144"/>
      <c r="AP7" s="106">
        <v>301</v>
      </c>
      <c r="AQ7" s="106">
        <v>6</v>
      </c>
      <c r="AR7" s="106">
        <v>4</v>
      </c>
      <c r="AS7" s="106" t="str">
        <f t="shared" si="0"/>
        <v/>
      </c>
      <c r="AT7" s="376" t="str">
        <f>'【様式2】職員名簿 '!AC33</f>
        <v>調理員</v>
      </c>
      <c r="AU7" s="237">
        <v>0</v>
      </c>
      <c r="AV7" s="239"/>
      <c r="AW7" s="239"/>
      <c r="AX7" s="239"/>
      <c r="AY7" s="398"/>
      <c r="AZ7" s="399"/>
      <c r="BA7" s="787"/>
      <c r="BB7" s="398"/>
      <c r="BC7" s="787"/>
      <c r="BD7" s="398"/>
      <c r="BE7" s="787"/>
      <c r="BF7" s="238"/>
      <c r="BG7" s="787"/>
      <c r="BH7" s="237"/>
      <c r="BI7" s="787"/>
      <c r="BJ7" s="237"/>
      <c r="BK7" s="787"/>
      <c r="BL7" s="237"/>
      <c r="BM7" s="787"/>
      <c r="BN7" s="237"/>
      <c r="BO7" s="787"/>
      <c r="BP7" s="237"/>
      <c r="BQ7" s="787"/>
      <c r="BR7" s="398"/>
      <c r="BS7" s="787"/>
      <c r="BT7" s="988" t="str">
        <f>'【様式2】職員名簿 '!C30</f>
        <v>保育教諭（発令有）</v>
      </c>
      <c r="BU7" s="400" t="str">
        <f>IFERROR(IF(BT7='【様式2】職員名簿 '!$K30,'【様式2】職員名簿 '!$B30,"×"),"×")</f>
        <v>×</v>
      </c>
      <c r="BV7" s="401">
        <f>'【様式2】職員名簿 '!H30</f>
        <v>0</v>
      </c>
    </row>
    <row r="8" spans="1:75" ht="15" customHeight="1">
      <c r="A8" s="2985" t="s">
        <v>128</v>
      </c>
      <c r="B8" s="2993">
        <f>【様式１】総括表・個票!H14</f>
        <v>0</v>
      </c>
      <c r="C8" s="2994"/>
      <c r="D8" s="731" t="s">
        <v>491</v>
      </c>
      <c r="E8" s="732" t="s">
        <v>958</v>
      </c>
      <c r="F8" s="853"/>
      <c r="G8" s="854"/>
      <c r="H8" s="854"/>
      <c r="I8" s="854"/>
      <c r="J8" s="855" t="s">
        <v>804</v>
      </c>
      <c r="K8" s="855" t="s">
        <v>804</v>
      </c>
      <c r="L8" s="856" t="s">
        <v>804</v>
      </c>
      <c r="M8" s="733">
        <f>SUM(F8:L8)</f>
        <v>0</v>
      </c>
      <c r="N8" s="734">
        <f>SUM(M8)</f>
        <v>0</v>
      </c>
      <c r="O8" s="1614" t="s">
        <v>1016</v>
      </c>
      <c r="AP8" s="106">
        <v>451</v>
      </c>
      <c r="AQ8" s="106">
        <v>8</v>
      </c>
      <c r="AR8" s="106">
        <v>4.5</v>
      </c>
      <c r="AS8" s="106" t="str">
        <f t="shared" si="0"/>
        <v/>
      </c>
      <c r="AT8" s="376" t="str">
        <f>'【様式2】職員名簿 '!AC34</f>
        <v>事務員</v>
      </c>
      <c r="AU8" s="247">
        <f t="shared" ref="AU8:AU72" si="1">ROW()-ROW($AU$7)</f>
        <v>1</v>
      </c>
      <c r="AV8" s="170" t="str">
        <f>AU8&amp;" "&amp;IF(AX8&lt;&gt;"-",'【様式2】職員名簿 '!B44&amp;"/"&amp;AW8&amp;"/"&amp;AX8,"")</f>
        <v xml:space="preserve">1 </v>
      </c>
      <c r="AW8" s="170">
        <f>'【様式2】職員名簿 '!F44</f>
        <v>0</v>
      </c>
      <c r="AX8" s="170" t="str">
        <f>IF('【様式2】職員名簿 '!K44="エラー","-",IF(AND('【様式2】職員名簿 '!C44=$AX$3,'【様式2】職員名簿 '!K44=$AX$4),$AX$3,'【様式2】職員名簿 '!K44))</f>
        <v>-</v>
      </c>
      <c r="AY8" s="783">
        <f>IF($AW8="常勤",$AN$2,IF($AW8="非常勤",'【様式2】職員名簿 '!H44,0))</f>
        <v>0</v>
      </c>
      <c r="AZ8" s="406">
        <f>IF($AX8=AZ$3,COUNTIF($AX$8:$AX8,AZ$3),0)</f>
        <v>0</v>
      </c>
      <c r="BA8" s="788" t="str">
        <f t="shared" ref="BA8:BA39" si="2">IFERROR(INDEX($AV$8:$AV$108,MATCH($AU8,AZ$8:AZ$108,0),1),"")</f>
        <v/>
      </c>
      <c r="BB8" s="247">
        <f>IF(OR($AX8=BB$3,$AX8=BB$4),COUNTIF($AX$8:$AX8,BB$3)+COUNTIF($AX$8:$AX8,BB$4),0)</f>
        <v>0</v>
      </c>
      <c r="BC8" s="788" t="str">
        <f t="shared" ref="BC8:BC39" si="3">IFERROR(INDEX($AV$8:$AV$108,MATCH($AU8,BB$8:BB$108,0),1),"")</f>
        <v/>
      </c>
      <c r="BD8" s="407">
        <f>IF(OR($AX8=$BD$4,$AX8=BD$3),COUNTIFS($AX$8:$AX8,BD$3,$AW$8:$AW8,BD$5)+COUNTIFS($AX$8:$AX8,BD$4,$AW$8:$AW8,BD$5),0)</f>
        <v>0</v>
      </c>
      <c r="BE8" s="788" t="str">
        <f t="shared" ref="BE8:BE39" si="4">IFERROR(INDEX($AV$8:$AV$108,MATCH($AU8,BD$8:BD$108,0),1),"")</f>
        <v/>
      </c>
      <c r="BF8" s="248">
        <f>IF($AX8=BF$3,COUNTIF($AX$8:$AX8,BF$3),0)</f>
        <v>0</v>
      </c>
      <c r="BG8" s="788" t="str">
        <f t="shared" ref="BG8:BG39" si="5">IFERROR(INDEX($AV$8:$AV$108,MATCH($AU8,BF$8:BF$108,0),1),"")</f>
        <v/>
      </c>
      <c r="BH8" s="247">
        <f>IF(OR($AX8=BH$3,$AX8=BH$4),COUNTIF($AX$8:$AX8,BH$3)+COUNTIF($AX$8:$AX8,BH$4),0)</f>
        <v>0</v>
      </c>
      <c r="BI8" s="788" t="str">
        <f t="shared" ref="BI8:BI39" si="6">IFERROR(INDEX($AV$8:$AV$108,MATCH($AU8,BH$8:BH$108,0),1),"")</f>
        <v/>
      </c>
      <c r="BJ8" s="247">
        <f>IF($AX8=BJ$4,COUNTIFS($AW$8:$AW8,BJ$3,$AX$8:$AX8,BJ$4),0)</f>
        <v>0</v>
      </c>
      <c r="BK8" s="788" t="str">
        <f t="shared" ref="BK8:BK39" si="7">IFERROR(INDEX($AV$8:$AV$108,MATCH($AU8,BJ$8:BJ$108,0),1),"")</f>
        <v/>
      </c>
      <c r="BL8" s="247">
        <f>IF($AX8=BL$3,COUNTIF($AX$8:$AX8,BL$3),0)</f>
        <v>0</v>
      </c>
      <c r="BM8" s="788" t="str">
        <f t="shared" ref="BM8:BM39" si="8">IFERROR(INDEX($AV$8:$AV$108,MATCH($AU8,BL$8:BL$108,0),1),"")</f>
        <v/>
      </c>
      <c r="BN8" s="247">
        <f>IF($AX8=BN$3,COUNTIF($AX$8:$AX8,BN$3),0)</f>
        <v>0</v>
      </c>
      <c r="BO8" s="788" t="str">
        <f t="shared" ref="BO8:BO39" si="9">IFERROR(INDEX($AV$8:$AV$108,MATCH($AU8,BN$8:BN$108,0),1),"")</f>
        <v/>
      </c>
      <c r="BP8" s="247">
        <f>IF($AX8&lt;&gt;BP$3,COUNTIF($AX$8:$AX8,"&lt;&gt;"&amp;BP$3),0)</f>
        <v>0</v>
      </c>
      <c r="BQ8" s="788" t="str">
        <f t="shared" ref="BQ8:BQ39" si="10">IFERROR(INDEX($AV$8:$AV$108,MATCH($AU8,BP$8:BP$108,0),1),"")</f>
        <v/>
      </c>
      <c r="BR8" s="247">
        <f>IF($AX8=BR$3,COUNTIF($AX$8:$AX8,BR$3),0)</f>
        <v>0</v>
      </c>
      <c r="BS8" s="788" t="str">
        <f t="shared" ref="BS8:BS39" si="11">IFERROR(INDEX($AV$8:$AV$108,MATCH($AU8,BR$8:BR$108,0),1),"")</f>
        <v/>
      </c>
      <c r="BT8" s="407" t="str">
        <f>'【様式2】職員名簿 '!C31</f>
        <v>栄養士等（委託）</v>
      </c>
      <c r="BU8" s="788" t="str">
        <f>IFERROR(IF(BT8='【様式2】職員名簿 '!$K31,'【様式2】職員名簿 '!$B31,"×"),"×")</f>
        <v>×</v>
      </c>
      <c r="BV8" s="408">
        <f>'【様式2】職員名簿 '!H31</f>
        <v>0</v>
      </c>
    </row>
    <row r="9" spans="1:75" ht="15" customHeight="1">
      <c r="A9" s="2942"/>
      <c r="B9" s="2995"/>
      <c r="C9" s="2996"/>
      <c r="D9" s="935" t="s">
        <v>957</v>
      </c>
      <c r="E9" s="735" t="s">
        <v>958</v>
      </c>
      <c r="F9" s="857"/>
      <c r="G9" s="858"/>
      <c r="H9" s="858"/>
      <c r="I9" s="858"/>
      <c r="J9" s="859" t="s">
        <v>804</v>
      </c>
      <c r="K9" s="859" t="s">
        <v>804</v>
      </c>
      <c r="L9" s="860" t="s">
        <v>804</v>
      </c>
      <c r="M9" s="736">
        <f>SUM(F9:L9)</f>
        <v>0</v>
      </c>
      <c r="N9" s="737">
        <f>SUM(M9)</f>
        <v>0</v>
      </c>
      <c r="O9" s="1614"/>
      <c r="AR9" s="106">
        <v>5</v>
      </c>
      <c r="AS9" s="106" t="str">
        <f t="shared" si="0"/>
        <v/>
      </c>
      <c r="AT9" s="376" t="str">
        <f>'【様式2】職員名簿 '!AC35</f>
        <v>学校医</v>
      </c>
      <c r="AU9" s="247">
        <f t="shared" si="1"/>
        <v>2</v>
      </c>
      <c r="AV9" s="170" t="str">
        <f>AU9&amp;" "&amp;IF(AX9&lt;&gt;"-",'【様式2】職員名簿 '!B45&amp;"/"&amp;AW9&amp;"/"&amp;AX9,"")</f>
        <v xml:space="preserve">2 </v>
      </c>
      <c r="AW9" s="170">
        <f>'【様式2】職員名簿 '!F45</f>
        <v>0</v>
      </c>
      <c r="AX9" s="170" t="str">
        <f>IF('【様式2】職員名簿 '!K45="エラー","-",IF(AND('【様式2】職員名簿 '!C45=$AX$3,'【様式2】職員名簿 '!K45=$AX$4),$AX$3,'【様式2】職員名簿 '!K45))</f>
        <v>-</v>
      </c>
      <c r="AY9" s="783">
        <f>IF($AW9="常勤",$AN$2,IF($AW9="非常勤",'【様式2】職員名簿 '!H45,0))</f>
        <v>0</v>
      </c>
      <c r="AZ9" s="406">
        <f>IF($AX9=AZ$3,COUNTIF($AX$8:$AX9,AZ$3),0)</f>
        <v>0</v>
      </c>
      <c r="BA9" s="788" t="str">
        <f t="shared" si="2"/>
        <v/>
      </c>
      <c r="BB9" s="247">
        <f>IF(OR($AX9=BB$3,$AX9=BB$4),COUNTIF($AX$8:$AX9,BB$3)+COUNTIF($AX$8:$AX9,BB$4),0)</f>
        <v>0</v>
      </c>
      <c r="BC9" s="788" t="str">
        <f t="shared" si="3"/>
        <v/>
      </c>
      <c r="BD9" s="407">
        <f>IF(OR($AX9=$BD$4,$AX9=BD$3),COUNTIFS($AX$8:$AX9,BD$3,$AW$8:$AW9,BD$5)+COUNTIFS($AX$8:$AX9,BD$4,$AW$8:$AW9,BD$5),0)</f>
        <v>0</v>
      </c>
      <c r="BE9" s="788" t="str">
        <f t="shared" si="4"/>
        <v/>
      </c>
      <c r="BF9" s="248">
        <f>IF($AX9=BF$3,COUNTIF($AX$8:$AX9,BF$3),0)</f>
        <v>0</v>
      </c>
      <c r="BG9" s="788" t="str">
        <f t="shared" si="5"/>
        <v/>
      </c>
      <c r="BH9" s="247">
        <f>IF(OR($AX9=BH$3,$AX9=BH$4),COUNTIF($AX$8:$AX9,BH$3)+COUNTIF($AX$8:$AX9,BH$4),0)</f>
        <v>0</v>
      </c>
      <c r="BI9" s="788" t="str">
        <f t="shared" si="6"/>
        <v/>
      </c>
      <c r="BJ9" s="247">
        <f>IF($AX9=BJ$4,COUNTIFS($AW$8:$AW9,BJ$3,$AX$8:$AX9,BJ$4),0)</f>
        <v>0</v>
      </c>
      <c r="BK9" s="788" t="str">
        <f t="shared" si="7"/>
        <v/>
      </c>
      <c r="BL9" s="247">
        <f>IF($AX9=BL$3,COUNTIF($AX$8:$AX9,BL$3),0)</f>
        <v>0</v>
      </c>
      <c r="BM9" s="788" t="str">
        <f t="shared" si="8"/>
        <v/>
      </c>
      <c r="BN9" s="247">
        <f>IF($AX9=BN$3,COUNTIF($AX$8:$AX9,BN$3),0)</f>
        <v>0</v>
      </c>
      <c r="BO9" s="788" t="str">
        <f t="shared" si="9"/>
        <v/>
      </c>
      <c r="BP9" s="247">
        <f>IF($AX9&lt;&gt;BP$3,COUNTIF($AX$8:$AX9,"&lt;&gt;"&amp;BP$3),0)</f>
        <v>0</v>
      </c>
      <c r="BQ9" s="788" t="str">
        <f t="shared" si="10"/>
        <v/>
      </c>
      <c r="BR9" s="247">
        <f>IF($AX9=BR$3,COUNTIF($AX$8:$AX9,BR$3),0)</f>
        <v>0</v>
      </c>
      <c r="BS9" s="788" t="str">
        <f t="shared" si="11"/>
        <v/>
      </c>
      <c r="BT9" s="407" t="str">
        <f>'【様式2】職員名簿 '!C32</f>
        <v>調理員（委託）</v>
      </c>
      <c r="BU9" s="788" t="str">
        <f>IFERROR(IF(BT9='【様式2】職員名簿 '!$K32,'【様式2】職員名簿 '!$B32,"×"),"×")</f>
        <v>×</v>
      </c>
      <c r="BV9" s="408">
        <f>'【様式2】職員名簿 '!H32</f>
        <v>0</v>
      </c>
    </row>
    <row r="10" spans="1:75" ht="15" customHeight="1" thickBot="1">
      <c r="A10" s="417" t="s">
        <v>15</v>
      </c>
      <c r="B10" s="2925">
        <f>SUM(B8)</f>
        <v>0</v>
      </c>
      <c r="C10" s="2925"/>
      <c r="D10" s="2890"/>
      <c r="E10" s="2891"/>
      <c r="F10" s="861">
        <f>SUM(F8:F9)</f>
        <v>0</v>
      </c>
      <c r="G10" s="862">
        <f t="shared" ref="G10:H10" si="12">SUM(G8:G9)</f>
        <v>0</v>
      </c>
      <c r="H10" s="862">
        <f t="shared" si="12"/>
        <v>0</v>
      </c>
      <c r="I10" s="862">
        <f>SUM(I8:I9)</f>
        <v>0</v>
      </c>
      <c r="J10" s="862">
        <f t="shared" ref="J10" si="13">SUM(J8:J9)</f>
        <v>0</v>
      </c>
      <c r="K10" s="862">
        <f t="shared" ref="K10" si="14">SUM(K8:K9)</f>
        <v>0</v>
      </c>
      <c r="L10" s="863">
        <f t="shared" ref="L10" si="15">SUM(L8:L9)</f>
        <v>0</v>
      </c>
      <c r="M10" s="730">
        <f t="shared" ref="M10:N10" si="16">SUM(M8:M9)</f>
        <v>0</v>
      </c>
      <c r="N10" s="418">
        <f t="shared" si="16"/>
        <v>0</v>
      </c>
      <c r="O10" s="1614"/>
      <c r="AR10" s="106">
        <v>5.5</v>
      </c>
      <c r="AS10" s="106" t="str">
        <f t="shared" si="0"/>
        <v/>
      </c>
      <c r="AT10" s="376" t="str">
        <f>'【様式2】職員名簿 '!AC36</f>
        <v>その他</v>
      </c>
      <c r="AU10" s="247">
        <f t="shared" si="1"/>
        <v>3</v>
      </c>
      <c r="AV10" s="170" t="str">
        <f>AU10&amp;" "&amp;IF(AX10&lt;&gt;"-",'【様式2】職員名簿 '!B46&amp;"/"&amp;AW10&amp;"/"&amp;AX10,"")</f>
        <v xml:space="preserve">3 </v>
      </c>
      <c r="AW10" s="170">
        <f>'【様式2】職員名簿 '!F46</f>
        <v>0</v>
      </c>
      <c r="AX10" s="170" t="str">
        <f>IF('【様式2】職員名簿 '!K46="エラー","-",IF(AND('【様式2】職員名簿 '!C46=$AX$3,'【様式2】職員名簿 '!K46=$AX$4),$AX$3,'【様式2】職員名簿 '!K46))</f>
        <v>-</v>
      </c>
      <c r="AY10" s="783">
        <f>IF($AW10="常勤",$AN$2,IF($AW10="非常勤",'【様式2】職員名簿 '!H46,0))</f>
        <v>0</v>
      </c>
      <c r="AZ10" s="406">
        <f>IF($AX10=AZ$3,COUNTIF($AX$8:$AX10,AZ$3),0)</f>
        <v>0</v>
      </c>
      <c r="BA10" s="788" t="str">
        <f t="shared" si="2"/>
        <v/>
      </c>
      <c r="BB10" s="247">
        <f>IF(OR($AX10=BB$3,$AX10=BB$4),COUNTIF($AX$8:$AX10,BB$3)+COUNTIF($AX$8:$AX10,BB$4),0)</f>
        <v>0</v>
      </c>
      <c r="BC10" s="788" t="str">
        <f t="shared" si="3"/>
        <v/>
      </c>
      <c r="BD10" s="407">
        <f>IF(OR($AX10=$BD$4,$AX10=BD$3),COUNTIFS($AX$8:$AX10,BD$3,$AW$8:$AW10,BD$5)+COUNTIFS($AX$8:$AX10,BD$4,$AW$8:$AW10,BD$5),0)</f>
        <v>0</v>
      </c>
      <c r="BE10" s="788" t="str">
        <f t="shared" si="4"/>
        <v/>
      </c>
      <c r="BF10" s="248">
        <f>IF($AX10=BF$3,COUNTIF($AX$8:$AX10,BF$3),0)</f>
        <v>0</v>
      </c>
      <c r="BG10" s="788" t="str">
        <f t="shared" si="5"/>
        <v/>
      </c>
      <c r="BH10" s="247">
        <f>IF(OR($AX10=BH$3,$AX10=BH$4),COUNTIF($AX$8:$AX10,BH$3)+COUNTIF($AX$8:$AX10,BH$4),0)</f>
        <v>0</v>
      </c>
      <c r="BI10" s="788" t="str">
        <f t="shared" si="6"/>
        <v/>
      </c>
      <c r="BJ10" s="247">
        <f>IF($AX10=BJ$4,COUNTIFS($AW$8:$AW10,BJ$3,$AX$8:$AX10,BJ$4),0)</f>
        <v>0</v>
      </c>
      <c r="BK10" s="788" t="str">
        <f t="shared" si="7"/>
        <v/>
      </c>
      <c r="BL10" s="247">
        <f>IF($AX10=BL$3,COUNTIF($AX$8:$AX10,BL$3),0)</f>
        <v>0</v>
      </c>
      <c r="BM10" s="788" t="str">
        <f t="shared" si="8"/>
        <v/>
      </c>
      <c r="BN10" s="247">
        <f>IF($AX10=BN$3,COUNTIF($AX$8:$AX10,BN$3),0)</f>
        <v>0</v>
      </c>
      <c r="BO10" s="788" t="str">
        <f t="shared" si="9"/>
        <v/>
      </c>
      <c r="BP10" s="247">
        <f>IF($AX10&lt;&gt;BP$3,COUNTIF($AX$8:$AX10,"&lt;&gt;"&amp;BP$3),0)</f>
        <v>0</v>
      </c>
      <c r="BQ10" s="788" t="str">
        <f t="shared" si="10"/>
        <v/>
      </c>
      <c r="BR10" s="247">
        <f>IF($AX10=BR$3,COUNTIF($AX$8:$AX10,BR$3),0)</f>
        <v>0</v>
      </c>
      <c r="BS10" s="788" t="str">
        <f t="shared" si="11"/>
        <v/>
      </c>
      <c r="BT10" s="407" t="str">
        <f>'【様式2】職員名簿 '!C33</f>
        <v>事務員（委託）</v>
      </c>
      <c r="BU10" s="788" t="str">
        <f>IFERROR(IF(BT10='【様式2】職員名簿 '!$K33,'【様式2】職員名簿 '!$B33,"×"),"×")</f>
        <v>×</v>
      </c>
      <c r="BV10" s="408">
        <f>'【様式2】職員名簿 '!H33</f>
        <v>0</v>
      </c>
    </row>
    <row r="11" spans="1:75" ht="15" customHeight="1" thickBot="1">
      <c r="A11" s="2981" t="s">
        <v>160</v>
      </c>
      <c r="B11" s="2924" t="s">
        <v>0</v>
      </c>
      <c r="C11" s="2924"/>
      <c r="D11" s="2983" t="s">
        <v>494</v>
      </c>
      <c r="E11" s="2984"/>
      <c r="F11" s="2984"/>
      <c r="G11" s="2984"/>
      <c r="H11" s="2984"/>
      <c r="I11" s="2984"/>
      <c r="J11" s="2984"/>
      <c r="K11" s="2984"/>
      <c r="L11" s="2984"/>
      <c r="M11" s="2984"/>
      <c r="N11" s="2951" t="s">
        <v>495</v>
      </c>
      <c r="O11" s="144"/>
      <c r="AR11" s="106">
        <v>6</v>
      </c>
      <c r="AS11" s="106" t="str">
        <f t="shared" si="0"/>
        <v/>
      </c>
      <c r="AT11" s="405"/>
      <c r="AU11" s="247">
        <f t="shared" si="1"/>
        <v>4</v>
      </c>
      <c r="AV11" s="170" t="str">
        <f>AU11&amp;" "&amp;IF(AX11&lt;&gt;"-",'【様式2】職員名簿 '!B47&amp;"/"&amp;AW11&amp;"/"&amp;AX11,"")</f>
        <v xml:space="preserve">4 </v>
      </c>
      <c r="AW11" s="170">
        <f>'【様式2】職員名簿 '!F47</f>
        <v>0</v>
      </c>
      <c r="AX11" s="170" t="str">
        <f>IF('【様式2】職員名簿 '!K47="エラー","-",IF(AND('【様式2】職員名簿 '!C47=$AX$3,'【様式2】職員名簿 '!K47=$AX$4),$AX$3,'【様式2】職員名簿 '!K47))</f>
        <v>-</v>
      </c>
      <c r="AY11" s="783">
        <f>IF($AW11="常勤",$AN$2,IF($AW11="非常勤",'【様式2】職員名簿 '!H47,0))</f>
        <v>0</v>
      </c>
      <c r="AZ11" s="406">
        <f>IF($AX11=AZ$3,COUNTIF($AX$8:$AX11,AZ$3),0)</f>
        <v>0</v>
      </c>
      <c r="BA11" s="788" t="str">
        <f t="shared" si="2"/>
        <v/>
      </c>
      <c r="BB11" s="247">
        <f>IF(OR($AX11=BB$3,$AX11=BB$4),COUNTIF($AX$8:$AX11,BB$3)+COUNTIF($AX$8:$AX11,BB$4),0)</f>
        <v>0</v>
      </c>
      <c r="BC11" s="788" t="str">
        <f t="shared" si="3"/>
        <v/>
      </c>
      <c r="BD11" s="407">
        <f>IF(OR($AX11=$BD$4,$AX11=BD$3),COUNTIFS($AX$8:$AX11,BD$3,$AW$8:$AW11,BD$5)+COUNTIFS($AX$8:$AX11,BD$4,$AW$8:$AW11,BD$5),0)</f>
        <v>0</v>
      </c>
      <c r="BE11" s="788" t="str">
        <f t="shared" si="4"/>
        <v/>
      </c>
      <c r="BF11" s="248">
        <f>IF($AX11=BF$3,COUNTIF($AX$8:$AX11,BF$3),0)</f>
        <v>0</v>
      </c>
      <c r="BG11" s="788" t="str">
        <f t="shared" si="5"/>
        <v/>
      </c>
      <c r="BH11" s="247">
        <f>IF(OR($AX11=BH$3,$AX11=BH$4),COUNTIF($AX$8:$AX11,BH$3)+COUNTIF($AX$8:$AX11,BH$4),0)</f>
        <v>0</v>
      </c>
      <c r="BI11" s="788" t="str">
        <f t="shared" si="6"/>
        <v/>
      </c>
      <c r="BJ11" s="247">
        <f>IF($AX11=BJ$4,COUNTIFS($AW$8:$AW11,BJ$3,$AX$8:$AX11,BJ$4),0)</f>
        <v>0</v>
      </c>
      <c r="BK11" s="788" t="str">
        <f t="shared" si="7"/>
        <v/>
      </c>
      <c r="BL11" s="247">
        <f>IF($AX11=BL$3,COUNTIF($AX$8:$AX11,BL$3),0)</f>
        <v>0</v>
      </c>
      <c r="BM11" s="788" t="str">
        <f t="shared" si="8"/>
        <v/>
      </c>
      <c r="BN11" s="247">
        <f>IF($AX11=BN$3,COUNTIF($AX$8:$AX11,BN$3),0)</f>
        <v>0</v>
      </c>
      <c r="BO11" s="788" t="str">
        <f t="shared" si="9"/>
        <v/>
      </c>
      <c r="BP11" s="247">
        <f>IF($AX11&lt;&gt;BP$3,COUNTIF($AX$8:$AX11,"&lt;&gt;"&amp;BP$3),0)</f>
        <v>0</v>
      </c>
      <c r="BQ11" s="788" t="str">
        <f t="shared" si="10"/>
        <v/>
      </c>
      <c r="BR11" s="247">
        <f>IF($AX11=BR$3,COUNTIF($AX$8:$AX11,BR$3),0)</f>
        <v>0</v>
      </c>
      <c r="BS11" s="788" t="str">
        <f t="shared" si="11"/>
        <v/>
      </c>
      <c r="BT11" s="407" t="str">
        <f>'【様式2】職員名簿 '!C34</f>
        <v>その他（委託）</v>
      </c>
      <c r="BU11" s="789" t="str">
        <f>IFERROR(IF(BT11='【様式2】職員名簿 '!$K34,'【様式2】職員名簿 '!$B34,"×"),"×")</f>
        <v>×</v>
      </c>
      <c r="BV11" s="408">
        <f>'【様式2】職員名簿 '!H34</f>
        <v>0</v>
      </c>
    </row>
    <row r="12" spans="1:75" ht="15" customHeight="1" thickTop="1" thickBot="1">
      <c r="A12" s="2982"/>
      <c r="B12" s="396" t="s">
        <v>4</v>
      </c>
      <c r="C12" s="397" t="s">
        <v>5</v>
      </c>
      <c r="D12" s="397" t="s">
        <v>492</v>
      </c>
      <c r="E12" s="396" t="s">
        <v>793</v>
      </c>
      <c r="F12" s="849" t="s">
        <v>794</v>
      </c>
      <c r="G12" s="850" t="s">
        <v>795</v>
      </c>
      <c r="H12" s="850" t="s">
        <v>796</v>
      </c>
      <c r="I12" s="850" t="s">
        <v>797</v>
      </c>
      <c r="J12" s="851" t="s">
        <v>798</v>
      </c>
      <c r="K12" s="851" t="s">
        <v>799</v>
      </c>
      <c r="L12" s="852" t="s">
        <v>800</v>
      </c>
      <c r="M12" s="396" t="s">
        <v>15</v>
      </c>
      <c r="N12" s="2525"/>
      <c r="O12" s="144"/>
      <c r="AR12" s="106">
        <v>6.5</v>
      </c>
      <c r="AS12" s="106" t="str">
        <f t="shared" si="0"/>
        <v/>
      </c>
      <c r="AU12" s="247">
        <f t="shared" si="1"/>
        <v>5</v>
      </c>
      <c r="AV12" s="170" t="str">
        <f>AU12&amp;" "&amp;IF(AX12&lt;&gt;"-",'【様式2】職員名簿 '!B48&amp;"/"&amp;AW12&amp;"/"&amp;AX12,"")</f>
        <v xml:space="preserve">5 </v>
      </c>
      <c r="AW12" s="170">
        <f>'【様式2】職員名簿 '!F48</f>
        <v>0</v>
      </c>
      <c r="AX12" s="170" t="str">
        <f>IF('【様式2】職員名簿 '!K48="エラー","-",IF(AND('【様式2】職員名簿 '!C48=$AX$3,'【様式2】職員名簿 '!K48=$AX$4),$AX$3,'【様式2】職員名簿 '!K48))</f>
        <v>-</v>
      </c>
      <c r="AY12" s="783">
        <f>IF($AW12="常勤",$AN$2,IF($AW12="非常勤",'【様式2】職員名簿 '!H48,0))</f>
        <v>0</v>
      </c>
      <c r="AZ12" s="406">
        <f>IF($AX12=AZ$3,COUNTIF($AX$8:$AX12,AZ$3),0)</f>
        <v>0</v>
      </c>
      <c r="BA12" s="788" t="str">
        <f t="shared" si="2"/>
        <v/>
      </c>
      <c r="BB12" s="247">
        <f>IF(OR($AX12=BB$3,$AX12=BB$4),COUNTIF($AX$8:$AX12,BB$3)+COUNTIF($AX$8:$AX12,BB$4),0)</f>
        <v>0</v>
      </c>
      <c r="BC12" s="788" t="str">
        <f t="shared" si="3"/>
        <v/>
      </c>
      <c r="BD12" s="407">
        <f>IF(OR($AX12=$BD$4,$AX12=BD$3),COUNTIFS($AX$8:$AX12,BD$3,$AW$8:$AW12,BD$5)+COUNTIFS($AX$8:$AX12,BD$4,$AW$8:$AW12,BD$5),0)</f>
        <v>0</v>
      </c>
      <c r="BE12" s="788" t="str">
        <f t="shared" si="4"/>
        <v/>
      </c>
      <c r="BF12" s="248">
        <f>IF($AX12=BF$3,COUNTIF($AX$8:$AX12,BF$3),0)</f>
        <v>0</v>
      </c>
      <c r="BG12" s="788" t="str">
        <f t="shared" si="5"/>
        <v/>
      </c>
      <c r="BH12" s="247">
        <f>IF(OR($AX12=BH$3,$AX12=BH$4),COUNTIF($AX$8:$AX12,BH$3)+COUNTIF($AX$8:$AX12,BH$4),0)</f>
        <v>0</v>
      </c>
      <c r="BI12" s="788" t="str">
        <f t="shared" si="6"/>
        <v/>
      </c>
      <c r="BJ12" s="247">
        <f>IF($AX12=BJ$4,COUNTIFS($AW$8:$AW12,BJ$3,$AX$8:$AX12,BJ$4),0)</f>
        <v>0</v>
      </c>
      <c r="BK12" s="788" t="str">
        <f t="shared" si="7"/>
        <v/>
      </c>
      <c r="BL12" s="247">
        <f>IF($AX12=BL$3,COUNTIF($AX$8:$AX12,BL$3),0)</f>
        <v>0</v>
      </c>
      <c r="BM12" s="788" t="str">
        <f t="shared" si="8"/>
        <v/>
      </c>
      <c r="BN12" s="247">
        <f>IF($AX12=BN$3,COUNTIF($AX$8:$AX12,BN$3),0)</f>
        <v>0</v>
      </c>
      <c r="BO12" s="788" t="str">
        <f t="shared" si="9"/>
        <v/>
      </c>
      <c r="BP12" s="247">
        <f>IF($AX12&lt;&gt;BP$3,COUNTIF($AX$8:$AX12,"&lt;&gt;"&amp;BP$3),0)</f>
        <v>0</v>
      </c>
      <c r="BQ12" s="788" t="str">
        <f t="shared" si="10"/>
        <v/>
      </c>
      <c r="BR12" s="247">
        <f>IF($AX12=BR$3,COUNTIF($AX$8:$AX12,BR$3),0)</f>
        <v>0</v>
      </c>
      <c r="BS12" s="788" t="str">
        <f t="shared" si="11"/>
        <v/>
      </c>
      <c r="BT12" s="312"/>
      <c r="BU12" s="312"/>
    </row>
    <row r="13" spans="1:75" ht="15" customHeight="1">
      <c r="A13" s="2985" t="s">
        <v>128</v>
      </c>
      <c r="B13" s="2986">
        <f>【様式１】総括表・個票!M14</f>
        <v>0</v>
      </c>
      <c r="C13" s="2986">
        <f>【様式１】総括表・個票!R14</f>
        <v>0</v>
      </c>
      <c r="D13" s="2987" t="s">
        <v>491</v>
      </c>
      <c r="E13" s="402" t="s">
        <v>801</v>
      </c>
      <c r="F13" s="864"/>
      <c r="G13" s="865"/>
      <c r="H13" s="865"/>
      <c r="I13" s="866" t="s">
        <v>802</v>
      </c>
      <c r="J13" s="865"/>
      <c r="K13" s="865"/>
      <c r="L13" s="874"/>
      <c r="M13" s="403">
        <f>SUM(F13:L13)</f>
        <v>0</v>
      </c>
      <c r="N13" s="404">
        <f>SUM(M13,M15)</f>
        <v>0</v>
      </c>
      <c r="O13" s="1586" t="s">
        <v>1017</v>
      </c>
      <c r="AR13" s="106">
        <v>7</v>
      </c>
      <c r="AS13" s="106" t="str">
        <f t="shared" si="0"/>
        <v/>
      </c>
      <c r="AU13" s="247">
        <f t="shared" si="1"/>
        <v>6</v>
      </c>
      <c r="AV13" s="170" t="str">
        <f>AU13&amp;" "&amp;IF(AX13&lt;&gt;"-",'【様式2】職員名簿 '!B49&amp;"/"&amp;AW13&amp;"/"&amp;AX13,"")</f>
        <v xml:space="preserve">6 </v>
      </c>
      <c r="AW13" s="170">
        <f>'【様式2】職員名簿 '!F49</f>
        <v>0</v>
      </c>
      <c r="AX13" s="170" t="str">
        <f>IF('【様式2】職員名簿 '!K49="エラー","-",IF(AND('【様式2】職員名簿 '!C49=$AX$3,'【様式2】職員名簿 '!K49=$AX$4),$AX$3,'【様式2】職員名簿 '!K49))</f>
        <v>-</v>
      </c>
      <c r="AY13" s="783">
        <f>IF($AW13="常勤",$AN$2,IF($AW13="非常勤",'【様式2】職員名簿 '!H49,0))</f>
        <v>0</v>
      </c>
      <c r="AZ13" s="406">
        <f>IF($AX13=AZ$3,COUNTIF($AX$8:$AX13,AZ$3),0)</f>
        <v>0</v>
      </c>
      <c r="BA13" s="788" t="str">
        <f t="shared" si="2"/>
        <v/>
      </c>
      <c r="BB13" s="247">
        <f>IF(OR($AX13=BB$3,$AX13=BB$4),COUNTIF($AX$8:$AX13,BB$3)+COUNTIF($AX$8:$AX13,BB$4),0)</f>
        <v>0</v>
      </c>
      <c r="BC13" s="788" t="str">
        <f t="shared" si="3"/>
        <v/>
      </c>
      <c r="BD13" s="407">
        <f>IF(OR($AX13=$BD$4,$AX13=BD$3),COUNTIFS($AX$8:$AX13,BD$3,$AW$8:$AW13,BD$5)+COUNTIFS($AX$8:$AX13,BD$4,$AW$8:$AW13,BD$5),0)</f>
        <v>0</v>
      </c>
      <c r="BE13" s="788" t="str">
        <f t="shared" si="4"/>
        <v/>
      </c>
      <c r="BF13" s="248">
        <f>IF($AX13=BF$3,COUNTIF($AX$8:$AX13,BF$3),0)</f>
        <v>0</v>
      </c>
      <c r="BG13" s="788" t="str">
        <f t="shared" si="5"/>
        <v/>
      </c>
      <c r="BH13" s="247">
        <f>IF(OR($AX13=BH$3,$AX13=BH$4),COUNTIF($AX$8:$AX13,BH$3)+COUNTIF($AX$8:$AX13,BH$4),0)</f>
        <v>0</v>
      </c>
      <c r="BI13" s="788" t="str">
        <f t="shared" si="6"/>
        <v/>
      </c>
      <c r="BJ13" s="247">
        <f>IF($AX13=BJ$4,COUNTIFS($AW$8:$AW13,BJ$3,$AX$8:$AX13,BJ$4),0)</f>
        <v>0</v>
      </c>
      <c r="BK13" s="788" t="str">
        <f t="shared" si="7"/>
        <v/>
      </c>
      <c r="BL13" s="247">
        <f>IF($AX13=BL$3,COUNTIF($AX$8:$AX13,BL$3),0)</f>
        <v>0</v>
      </c>
      <c r="BM13" s="788" t="str">
        <f t="shared" si="8"/>
        <v/>
      </c>
      <c r="BN13" s="247">
        <f>IF($AX13=BN$3,COUNTIF($AX$8:$AX13,BN$3),0)</f>
        <v>0</v>
      </c>
      <c r="BO13" s="788" t="str">
        <f t="shared" si="9"/>
        <v/>
      </c>
      <c r="BP13" s="247">
        <f>IF($AX13&lt;&gt;BP$3,COUNTIF($AX$8:$AX13,"&lt;&gt;"&amp;BP$3),0)</f>
        <v>0</v>
      </c>
      <c r="BQ13" s="788" t="str">
        <f t="shared" si="10"/>
        <v/>
      </c>
      <c r="BR13" s="247">
        <f>IF($AX13=BR$3,COUNTIF($AX$8:$AX13,BR$3),0)</f>
        <v>0</v>
      </c>
      <c r="BS13" s="788" t="str">
        <f t="shared" si="11"/>
        <v/>
      </c>
      <c r="BT13" s="312"/>
      <c r="BU13" s="312"/>
    </row>
    <row r="14" spans="1:75" ht="15" customHeight="1">
      <c r="A14" s="2942"/>
      <c r="B14" s="2889"/>
      <c r="C14" s="2889"/>
      <c r="D14" s="2988"/>
      <c r="E14" s="409" t="s">
        <v>803</v>
      </c>
      <c r="F14" s="867"/>
      <c r="G14" s="868"/>
      <c r="H14" s="868"/>
      <c r="I14" s="869" t="s">
        <v>804</v>
      </c>
      <c r="J14" s="868"/>
      <c r="K14" s="868"/>
      <c r="L14" s="1065"/>
      <c r="M14" s="410">
        <f>SUM(F14:L14)</f>
        <v>0</v>
      </c>
      <c r="N14" s="411">
        <f>SUM(M14,M16)</f>
        <v>0</v>
      </c>
      <c r="O14" s="1586"/>
      <c r="AR14" s="106">
        <v>7.5</v>
      </c>
      <c r="AS14" s="106" t="str">
        <f t="shared" si="0"/>
        <v/>
      </c>
      <c r="AU14" s="247">
        <f t="shared" si="1"/>
        <v>7</v>
      </c>
      <c r="AV14" s="170" t="str">
        <f>AU14&amp;" "&amp;IF(AX14&lt;&gt;"-",'【様式2】職員名簿 '!B50&amp;"/"&amp;AW14&amp;"/"&amp;AX14,"")</f>
        <v xml:space="preserve">7 </v>
      </c>
      <c r="AW14" s="170">
        <f>'【様式2】職員名簿 '!F50</f>
        <v>0</v>
      </c>
      <c r="AX14" s="170" t="str">
        <f>IF('【様式2】職員名簿 '!K50="エラー","-",IF(AND('【様式2】職員名簿 '!C50=$AX$3,'【様式2】職員名簿 '!K50=$AX$4),$AX$3,'【様式2】職員名簿 '!K50))</f>
        <v>-</v>
      </c>
      <c r="AY14" s="783">
        <f>IF($AW14="常勤",$AN$2,IF($AW14="非常勤",'【様式2】職員名簿 '!H50,0))</f>
        <v>0</v>
      </c>
      <c r="AZ14" s="406">
        <f>IF($AX14=AZ$3,COUNTIF($AX$8:$AX14,AZ$3),0)</f>
        <v>0</v>
      </c>
      <c r="BA14" s="788" t="str">
        <f t="shared" si="2"/>
        <v/>
      </c>
      <c r="BB14" s="247">
        <f>IF(OR($AX14=BB$3,$AX14=BB$4),COUNTIF($AX$8:$AX14,BB$3)+COUNTIF($AX$8:$AX14,BB$4),0)</f>
        <v>0</v>
      </c>
      <c r="BC14" s="788" t="str">
        <f t="shared" si="3"/>
        <v/>
      </c>
      <c r="BD14" s="407">
        <f>IF(OR($AX14=$BD$4,$AX14=BD$3),COUNTIFS($AX$8:$AX14,BD$3,$AW$8:$AW14,BD$5)+COUNTIFS($AX$8:$AX14,BD$4,$AW$8:$AW14,BD$5),0)</f>
        <v>0</v>
      </c>
      <c r="BE14" s="788" t="str">
        <f t="shared" si="4"/>
        <v/>
      </c>
      <c r="BF14" s="248">
        <f>IF($AX14=BF$3,COUNTIF($AX$8:$AX14,BF$3),0)</f>
        <v>0</v>
      </c>
      <c r="BG14" s="788" t="str">
        <f t="shared" si="5"/>
        <v/>
      </c>
      <c r="BH14" s="247">
        <f>IF(OR($AX14=BH$3,$AX14=BH$4),COUNTIF($AX$8:$AX14,BH$3)+COUNTIF($AX$8:$AX14,BH$4),0)</f>
        <v>0</v>
      </c>
      <c r="BI14" s="788" t="str">
        <f t="shared" si="6"/>
        <v/>
      </c>
      <c r="BJ14" s="247">
        <f>IF($AX14=BJ$4,COUNTIFS($AW$8:$AW14,BJ$3,$AX$8:$AX14,BJ$4),0)</f>
        <v>0</v>
      </c>
      <c r="BK14" s="788" t="str">
        <f t="shared" si="7"/>
        <v/>
      </c>
      <c r="BL14" s="247">
        <f>IF($AX14=BL$3,COUNTIF($AX$8:$AX14,BL$3),0)</f>
        <v>0</v>
      </c>
      <c r="BM14" s="788" t="str">
        <f t="shared" si="8"/>
        <v/>
      </c>
      <c r="BN14" s="247">
        <f>IF($AX14=BN$3,COUNTIF($AX$8:$AX14,BN$3),0)</f>
        <v>0</v>
      </c>
      <c r="BO14" s="788" t="str">
        <f t="shared" si="9"/>
        <v/>
      </c>
      <c r="BP14" s="247">
        <f>IF($AX14&lt;&gt;BP$3,COUNTIF($AX$8:$AX14,"&lt;&gt;"&amp;BP$3),0)</f>
        <v>0</v>
      </c>
      <c r="BQ14" s="788" t="str">
        <f t="shared" si="10"/>
        <v/>
      </c>
      <c r="BR14" s="247">
        <f>IF($AX14=BR$3,COUNTIF($AX$8:$AX14,BR$3),0)</f>
        <v>0</v>
      </c>
      <c r="BS14" s="788" t="str">
        <f t="shared" si="11"/>
        <v/>
      </c>
      <c r="BT14" s="312"/>
      <c r="BU14" s="312"/>
    </row>
    <row r="15" spans="1:75" ht="15" customHeight="1">
      <c r="A15" s="2942"/>
      <c r="B15" s="2889"/>
      <c r="C15" s="2889"/>
      <c r="D15" s="2989" t="s">
        <v>805</v>
      </c>
      <c r="E15" s="412" t="s">
        <v>801</v>
      </c>
      <c r="F15" s="870"/>
      <c r="G15" s="871"/>
      <c r="H15" s="871"/>
      <c r="I15" s="872" t="s">
        <v>804</v>
      </c>
      <c r="J15" s="871"/>
      <c r="K15" s="871"/>
      <c r="L15" s="880"/>
      <c r="M15" s="413">
        <f>SUM(F15:L15)</f>
        <v>0</v>
      </c>
      <c r="N15" s="414" t="s">
        <v>806</v>
      </c>
      <c r="O15" s="1586"/>
      <c r="AR15" s="106">
        <v>8</v>
      </c>
      <c r="AS15" s="106" t="str">
        <f t="shared" si="0"/>
        <v/>
      </c>
      <c r="AU15" s="247">
        <f t="shared" si="1"/>
        <v>8</v>
      </c>
      <c r="AV15" s="170" t="str">
        <f>AU15&amp;" "&amp;IF(AX15&lt;&gt;"-",'【様式2】職員名簿 '!B51&amp;"/"&amp;AW15&amp;"/"&amp;AX15,"")</f>
        <v xml:space="preserve">8 </v>
      </c>
      <c r="AW15" s="170">
        <f>'【様式2】職員名簿 '!F51</f>
        <v>0</v>
      </c>
      <c r="AX15" s="170" t="str">
        <f>IF('【様式2】職員名簿 '!K51="エラー","-",IF(AND('【様式2】職員名簿 '!C51=$AX$3,'【様式2】職員名簿 '!K51=$AX$4),$AX$3,'【様式2】職員名簿 '!K51))</f>
        <v>-</v>
      </c>
      <c r="AY15" s="783">
        <f>IF($AW15="常勤",$AN$2,IF($AW15="非常勤",'【様式2】職員名簿 '!H51,0))</f>
        <v>0</v>
      </c>
      <c r="AZ15" s="406">
        <f>IF($AX15=AZ$3,COUNTIF($AX$8:$AX15,AZ$3),0)</f>
        <v>0</v>
      </c>
      <c r="BA15" s="788" t="str">
        <f t="shared" si="2"/>
        <v/>
      </c>
      <c r="BB15" s="247">
        <f>IF(OR($AX15=BB$3,$AX15=BB$4),COUNTIF($AX$8:$AX15,BB$3)+COUNTIF($AX$8:$AX15,BB$4),0)</f>
        <v>0</v>
      </c>
      <c r="BC15" s="788" t="str">
        <f t="shared" si="3"/>
        <v/>
      </c>
      <c r="BD15" s="407">
        <f>IF(OR($AX15=$BD$4,$AX15=BD$3),COUNTIFS($AX$8:$AX15,BD$3,$AW$8:$AW15,BD$5)+COUNTIFS($AX$8:$AX15,BD$4,$AW$8:$AW15,BD$5),0)</f>
        <v>0</v>
      </c>
      <c r="BE15" s="788" t="str">
        <f t="shared" si="4"/>
        <v/>
      </c>
      <c r="BF15" s="248">
        <f>IF($AX15=BF$3,COUNTIF($AX$8:$AX15,BF$3),0)</f>
        <v>0</v>
      </c>
      <c r="BG15" s="788" t="str">
        <f t="shared" si="5"/>
        <v/>
      </c>
      <c r="BH15" s="247">
        <f>IF(OR($AX15=BH$3,$AX15=BH$4),COUNTIF($AX$8:$AX15,BH$3)+COUNTIF($AX$8:$AX15,BH$4),0)</f>
        <v>0</v>
      </c>
      <c r="BI15" s="788" t="str">
        <f t="shared" si="6"/>
        <v/>
      </c>
      <c r="BJ15" s="247">
        <f>IF($AX15=BJ$4,COUNTIFS($AW$8:$AW15,BJ$3,$AX$8:$AX15,BJ$4),0)</f>
        <v>0</v>
      </c>
      <c r="BK15" s="788" t="str">
        <f t="shared" si="7"/>
        <v/>
      </c>
      <c r="BL15" s="247">
        <f>IF($AX15=BL$3,COUNTIF($AX$8:$AX15,BL$3),0)</f>
        <v>0</v>
      </c>
      <c r="BM15" s="788" t="str">
        <f t="shared" si="8"/>
        <v/>
      </c>
      <c r="BN15" s="247">
        <f>IF($AX15=BN$3,COUNTIF($AX$8:$AX15,BN$3),0)</f>
        <v>0</v>
      </c>
      <c r="BO15" s="788" t="str">
        <f t="shared" si="9"/>
        <v/>
      </c>
      <c r="BP15" s="247">
        <f>IF($AX15&lt;&gt;BP$3,COUNTIF($AX$8:$AX15,"&lt;&gt;"&amp;BP$3),0)</f>
        <v>0</v>
      </c>
      <c r="BQ15" s="788" t="str">
        <f t="shared" si="10"/>
        <v/>
      </c>
      <c r="BR15" s="247">
        <f>IF($AX15=BR$3,COUNTIF($AX$8:$AX15,BR$3),0)</f>
        <v>0</v>
      </c>
      <c r="BS15" s="788" t="str">
        <f t="shared" si="11"/>
        <v/>
      </c>
      <c r="BT15" s="312"/>
      <c r="BU15" s="312"/>
    </row>
    <row r="16" spans="1:75" ht="15" customHeight="1">
      <c r="A16" s="2943"/>
      <c r="B16" s="2889"/>
      <c r="C16" s="2889"/>
      <c r="D16" s="2990"/>
      <c r="E16" s="415" t="s">
        <v>803</v>
      </c>
      <c r="F16" s="867"/>
      <c r="G16" s="868"/>
      <c r="H16" s="868"/>
      <c r="I16" s="869" t="s">
        <v>804</v>
      </c>
      <c r="J16" s="868"/>
      <c r="K16" s="868"/>
      <c r="L16" s="1065"/>
      <c r="M16" s="410">
        <f>SUM(F16:L16)</f>
        <v>0</v>
      </c>
      <c r="N16" s="416" t="s">
        <v>804</v>
      </c>
      <c r="O16" s="1586"/>
      <c r="AU16" s="247">
        <f t="shared" si="1"/>
        <v>9</v>
      </c>
      <c r="AV16" s="170" t="str">
        <f>AU16&amp;" "&amp;IF(AX16&lt;&gt;"-",'【様式2】職員名簿 '!B52&amp;"/"&amp;AW16&amp;"/"&amp;AX16,"")</f>
        <v xml:space="preserve">9 </v>
      </c>
      <c r="AW16" s="170">
        <f>'【様式2】職員名簿 '!F52</f>
        <v>0</v>
      </c>
      <c r="AX16" s="170" t="str">
        <f>IF('【様式2】職員名簿 '!K52="エラー","-",IF(AND('【様式2】職員名簿 '!C52=$AX$3,'【様式2】職員名簿 '!K52=$AX$4),$AX$3,'【様式2】職員名簿 '!K52))</f>
        <v>-</v>
      </c>
      <c r="AY16" s="783">
        <f>IF($AW16="常勤",$AN$2,IF($AW16="非常勤",'【様式2】職員名簿 '!H52,0))</f>
        <v>0</v>
      </c>
      <c r="AZ16" s="406">
        <f>IF($AX16=AZ$3,COUNTIF($AX$8:$AX16,AZ$3),0)</f>
        <v>0</v>
      </c>
      <c r="BA16" s="788" t="str">
        <f t="shared" si="2"/>
        <v/>
      </c>
      <c r="BB16" s="247">
        <f>IF(OR($AX16=BB$3,$AX16=BB$4),COUNTIF($AX$8:$AX16,BB$3)+COUNTIF($AX$8:$AX16,BB$4),0)</f>
        <v>0</v>
      </c>
      <c r="BC16" s="788" t="str">
        <f t="shared" si="3"/>
        <v/>
      </c>
      <c r="BD16" s="407">
        <f>IF(OR($AX16=$BD$4,$AX16=BD$3),COUNTIFS($AX$8:$AX16,BD$3,$AW$8:$AW16,BD$5)+COUNTIFS($AX$8:$AX16,BD$4,$AW$8:$AW16,BD$5),0)</f>
        <v>0</v>
      </c>
      <c r="BE16" s="788" t="str">
        <f t="shared" si="4"/>
        <v/>
      </c>
      <c r="BF16" s="248">
        <f>IF($AX16=BF$3,COUNTIF($AX$8:$AX16,BF$3),0)</f>
        <v>0</v>
      </c>
      <c r="BG16" s="788" t="str">
        <f t="shared" si="5"/>
        <v/>
      </c>
      <c r="BH16" s="247">
        <f>IF(OR($AX16=BH$3,$AX16=BH$4),COUNTIF($AX$8:$AX16,BH$3)+COUNTIF($AX$8:$AX16,BH$4),0)</f>
        <v>0</v>
      </c>
      <c r="BI16" s="788" t="str">
        <f t="shared" si="6"/>
        <v/>
      </c>
      <c r="BJ16" s="247">
        <f>IF($AX16=BJ$4,COUNTIFS($AW$8:$AW16,BJ$3,$AX$8:$AX16,BJ$4),0)</f>
        <v>0</v>
      </c>
      <c r="BK16" s="788" t="str">
        <f t="shared" si="7"/>
        <v/>
      </c>
      <c r="BL16" s="247">
        <f>IF($AX16=BL$3,COUNTIF($AX$8:$AX16,BL$3),0)</f>
        <v>0</v>
      </c>
      <c r="BM16" s="788" t="str">
        <f t="shared" si="8"/>
        <v/>
      </c>
      <c r="BN16" s="247">
        <f>IF($AX16=BN$3,COUNTIF($AX$8:$AX16,BN$3),0)</f>
        <v>0</v>
      </c>
      <c r="BO16" s="788" t="str">
        <f t="shared" si="9"/>
        <v/>
      </c>
      <c r="BP16" s="247">
        <f>IF($AX16&lt;&gt;BP$3,COUNTIF($AX$8:$AX16,"&lt;&gt;"&amp;BP$3),0)</f>
        <v>0</v>
      </c>
      <c r="BQ16" s="788" t="str">
        <f t="shared" si="10"/>
        <v/>
      </c>
      <c r="BR16" s="247">
        <f>IF($AX16=BR$3,COUNTIF($AX$8:$AX16,BR$3),0)</f>
        <v>0</v>
      </c>
      <c r="BS16" s="788" t="str">
        <f t="shared" si="11"/>
        <v/>
      </c>
      <c r="BT16" s="312"/>
      <c r="BU16" s="312"/>
    </row>
    <row r="17" spans="1:73" ht="15" customHeight="1" thickBot="1">
      <c r="A17" s="417" t="s">
        <v>15</v>
      </c>
      <c r="B17" s="2889">
        <f>SUM(B13:C16)</f>
        <v>0</v>
      </c>
      <c r="C17" s="2889"/>
      <c r="D17" s="2890"/>
      <c r="E17" s="2891"/>
      <c r="F17" s="861">
        <f>SUM(F13:F16)</f>
        <v>0</v>
      </c>
      <c r="G17" s="862">
        <f t="shared" ref="G17:N17" si="17">SUM(G13:G16)</f>
        <v>0</v>
      </c>
      <c r="H17" s="862">
        <f t="shared" si="17"/>
        <v>0</v>
      </c>
      <c r="I17" s="862">
        <f>SUM(I13:I16)</f>
        <v>0</v>
      </c>
      <c r="J17" s="862">
        <f t="shared" si="17"/>
        <v>0</v>
      </c>
      <c r="K17" s="862">
        <f t="shared" si="17"/>
        <v>0</v>
      </c>
      <c r="L17" s="863">
        <f t="shared" si="17"/>
        <v>0</v>
      </c>
      <c r="M17" s="730">
        <f t="shared" si="17"/>
        <v>0</v>
      </c>
      <c r="N17" s="418">
        <f t="shared" si="17"/>
        <v>0</v>
      </c>
      <c r="O17" s="144"/>
      <c r="AR17" s="264">
        <v>2.5</v>
      </c>
      <c r="AS17" s="264">
        <v>3</v>
      </c>
      <c r="AU17" s="247">
        <f t="shared" si="1"/>
        <v>10</v>
      </c>
      <c r="AV17" s="170" t="str">
        <f>AU17&amp;" "&amp;IF(AX17&lt;&gt;"-",'【様式2】職員名簿 '!B53&amp;"/"&amp;AW17&amp;"/"&amp;AX17,"")</f>
        <v xml:space="preserve">10 </v>
      </c>
      <c r="AW17" s="170">
        <f>'【様式2】職員名簿 '!F53</f>
        <v>0</v>
      </c>
      <c r="AX17" s="170" t="str">
        <f>IF('【様式2】職員名簿 '!K53="エラー","-",IF(AND('【様式2】職員名簿 '!C53=$AX$3,'【様式2】職員名簿 '!K53=$AX$4),$AX$3,'【様式2】職員名簿 '!K53))</f>
        <v>-</v>
      </c>
      <c r="AY17" s="783">
        <f>IF($AW17="常勤",$AN$2,IF($AW17="非常勤",'【様式2】職員名簿 '!H53,0))</f>
        <v>0</v>
      </c>
      <c r="AZ17" s="406">
        <f>IF($AX17=AZ$3,COUNTIF($AX$8:$AX17,AZ$3),0)</f>
        <v>0</v>
      </c>
      <c r="BA17" s="788" t="str">
        <f t="shared" si="2"/>
        <v/>
      </c>
      <c r="BB17" s="247">
        <f>IF(OR($AX17=BB$3,$AX17=BB$4),COUNTIF($AX$8:$AX17,BB$3)+COUNTIF($AX$8:$AX17,BB$4),0)</f>
        <v>0</v>
      </c>
      <c r="BC17" s="788" t="str">
        <f t="shared" si="3"/>
        <v/>
      </c>
      <c r="BD17" s="407">
        <f>IF(OR($AX17=$BD$4,$AX17=BD$3),COUNTIFS($AX$8:$AX17,BD$3,$AW$8:$AW17,BD$5)+COUNTIFS($AX$8:$AX17,BD$4,$AW$8:$AW17,BD$5),0)</f>
        <v>0</v>
      </c>
      <c r="BE17" s="788" t="str">
        <f t="shared" si="4"/>
        <v/>
      </c>
      <c r="BF17" s="248">
        <f>IF($AX17=BF$3,COUNTIF($AX$8:$AX17,BF$3),0)</f>
        <v>0</v>
      </c>
      <c r="BG17" s="788" t="str">
        <f t="shared" si="5"/>
        <v/>
      </c>
      <c r="BH17" s="247">
        <f>IF(OR($AX17=BH$3,$AX17=BH$4),COUNTIF($AX$8:$AX17,BH$3)+COUNTIF($AX$8:$AX17,BH$4),0)</f>
        <v>0</v>
      </c>
      <c r="BI17" s="788" t="str">
        <f t="shared" si="6"/>
        <v/>
      </c>
      <c r="BJ17" s="247">
        <f>IF($AX17=BJ$4,COUNTIFS($AW$8:$AW17,BJ$3,$AX$8:$AX17,BJ$4),0)</f>
        <v>0</v>
      </c>
      <c r="BK17" s="788" t="str">
        <f t="shared" si="7"/>
        <v/>
      </c>
      <c r="BL17" s="247">
        <f>IF($AX17=BL$3,COUNTIF($AX$8:$AX17,BL$3),0)</f>
        <v>0</v>
      </c>
      <c r="BM17" s="788" t="str">
        <f t="shared" si="8"/>
        <v/>
      </c>
      <c r="BN17" s="247">
        <f>IF($AX17=BN$3,COUNTIF($AX$8:$AX17,BN$3),0)</f>
        <v>0</v>
      </c>
      <c r="BO17" s="788" t="str">
        <f t="shared" si="9"/>
        <v/>
      </c>
      <c r="BP17" s="247">
        <f>IF($AX17&lt;&gt;BP$3,COUNTIF($AX$8:$AX17,"&lt;&gt;"&amp;BP$3),0)</f>
        <v>0</v>
      </c>
      <c r="BQ17" s="788" t="str">
        <f t="shared" si="10"/>
        <v/>
      </c>
      <c r="BR17" s="247">
        <f>IF($AX17=BR$3,COUNTIF($AX$8:$AX17,BR$3),0)</f>
        <v>0</v>
      </c>
      <c r="BS17" s="788" t="str">
        <f t="shared" si="11"/>
        <v/>
      </c>
      <c r="BT17" s="312"/>
      <c r="BU17" s="312"/>
    </row>
    <row r="18" spans="1:73" ht="15" customHeight="1">
      <c r="A18" s="2914" t="s">
        <v>160</v>
      </c>
      <c r="B18" s="2924" t="s">
        <v>0</v>
      </c>
      <c r="C18" s="2924"/>
      <c r="D18" s="2934" t="s">
        <v>494</v>
      </c>
      <c r="E18" s="2935"/>
      <c r="F18" s="2935"/>
      <c r="G18" s="2935"/>
      <c r="H18" s="2935"/>
      <c r="I18" s="2935"/>
      <c r="J18" s="2935"/>
      <c r="K18" s="2935"/>
      <c r="L18" s="2935"/>
      <c r="M18" s="2935"/>
      <c r="N18" s="2951" t="s">
        <v>495</v>
      </c>
      <c r="O18" s="144"/>
      <c r="AR18" s="264">
        <v>3.3</v>
      </c>
      <c r="AS18" s="264">
        <v>3.5</v>
      </c>
      <c r="AU18" s="247">
        <f t="shared" si="1"/>
        <v>11</v>
      </c>
      <c r="AV18" s="170" t="str">
        <f>AU18&amp;" "&amp;IF(AX18&lt;&gt;"-",'【様式2】職員名簿 '!B54&amp;"/"&amp;AW18&amp;"/"&amp;AX18,"")</f>
        <v xml:space="preserve">11 </v>
      </c>
      <c r="AW18" s="170">
        <f>'【様式2】職員名簿 '!F54</f>
        <v>0</v>
      </c>
      <c r="AX18" s="170" t="str">
        <f>IF('【様式2】職員名簿 '!K54="エラー","-",IF(AND('【様式2】職員名簿 '!C54=$AX$3,'【様式2】職員名簿 '!K54=$AX$4),$AX$3,'【様式2】職員名簿 '!K54))</f>
        <v>-</v>
      </c>
      <c r="AY18" s="783">
        <f>IF($AW18="常勤",$AN$2,IF($AW18="非常勤",'【様式2】職員名簿 '!H54,0))</f>
        <v>0</v>
      </c>
      <c r="AZ18" s="406">
        <f>IF($AX18=AZ$3,COUNTIF($AX$8:$AX18,AZ$3),0)</f>
        <v>0</v>
      </c>
      <c r="BA18" s="788" t="str">
        <f t="shared" si="2"/>
        <v/>
      </c>
      <c r="BB18" s="247">
        <f>IF(OR($AX18=BB$3,$AX18=BB$4),COUNTIF($AX$8:$AX18,BB$3)+COUNTIF($AX$8:$AX18,BB$4),0)</f>
        <v>0</v>
      </c>
      <c r="BC18" s="788" t="str">
        <f t="shared" si="3"/>
        <v/>
      </c>
      <c r="BD18" s="407">
        <f>IF(OR($AX18=$BD$4,$AX18=BD$3),COUNTIFS($AX$8:$AX18,BD$3,$AW$8:$AW18,BD$5)+COUNTIFS($AX$8:$AX18,BD$4,$AW$8:$AW18,BD$5),0)</f>
        <v>0</v>
      </c>
      <c r="BE18" s="788" t="str">
        <f t="shared" si="4"/>
        <v/>
      </c>
      <c r="BF18" s="248">
        <f>IF($AX18=BF$3,COUNTIF($AX$8:$AX18,BF$3),0)</f>
        <v>0</v>
      </c>
      <c r="BG18" s="788" t="str">
        <f t="shared" si="5"/>
        <v/>
      </c>
      <c r="BH18" s="247">
        <f>IF(OR($AX18=BH$3,$AX18=BH$4),COUNTIF($AX$8:$AX18,BH$3)+COUNTIF($AX$8:$AX18,BH$4),0)</f>
        <v>0</v>
      </c>
      <c r="BI18" s="788" t="str">
        <f t="shared" si="6"/>
        <v/>
      </c>
      <c r="BJ18" s="247">
        <f>IF($AX18=BJ$4,COUNTIFS($AW$8:$AW18,BJ$3,$AX$8:$AX18,BJ$4),0)</f>
        <v>0</v>
      </c>
      <c r="BK18" s="788" t="str">
        <f t="shared" si="7"/>
        <v/>
      </c>
      <c r="BL18" s="247">
        <f>IF($AX18=BL$3,COUNTIF($AX$8:$AX18,BL$3),0)</f>
        <v>0</v>
      </c>
      <c r="BM18" s="788" t="str">
        <f t="shared" si="8"/>
        <v/>
      </c>
      <c r="BN18" s="247">
        <f>IF($AX18=BN$3,COUNTIF($AX$8:$AX18,BN$3),0)</f>
        <v>0</v>
      </c>
      <c r="BO18" s="788" t="str">
        <f t="shared" si="9"/>
        <v/>
      </c>
      <c r="BP18" s="247">
        <f>IF($AX18&lt;&gt;BP$3,COUNTIF($AX$8:$AX18,"&lt;&gt;"&amp;BP$3),0)</f>
        <v>0</v>
      </c>
      <c r="BQ18" s="788" t="str">
        <f t="shared" si="10"/>
        <v/>
      </c>
      <c r="BR18" s="247">
        <f>IF($AX18=BR$3,COUNTIF($AX$8:$AX18,BR$3),0)</f>
        <v>0</v>
      </c>
      <c r="BS18" s="788" t="str">
        <f t="shared" si="11"/>
        <v/>
      </c>
      <c r="BT18" s="312"/>
      <c r="BU18" s="312"/>
    </row>
    <row r="19" spans="1:73" ht="15" customHeight="1" thickBot="1">
      <c r="A19" s="2915"/>
      <c r="B19" s="396" t="s">
        <v>4</v>
      </c>
      <c r="C19" s="397" t="s">
        <v>5</v>
      </c>
      <c r="D19" s="397" t="s">
        <v>492</v>
      </c>
      <c r="E19" s="396" t="s">
        <v>793</v>
      </c>
      <c r="F19" s="849" t="s">
        <v>794</v>
      </c>
      <c r="G19" s="850" t="s">
        <v>795</v>
      </c>
      <c r="H19" s="850" t="s">
        <v>796</v>
      </c>
      <c r="I19" s="850" t="s">
        <v>797</v>
      </c>
      <c r="J19" s="851" t="s">
        <v>798</v>
      </c>
      <c r="K19" s="851" t="s">
        <v>799</v>
      </c>
      <c r="L19" s="852" t="s">
        <v>800</v>
      </c>
      <c r="M19" s="396" t="s">
        <v>15</v>
      </c>
      <c r="N19" s="2525"/>
      <c r="O19" s="144"/>
      <c r="AR19" s="264">
        <v>3.5</v>
      </c>
      <c r="AS19" s="264">
        <v>4</v>
      </c>
      <c r="AU19" s="247">
        <f t="shared" si="1"/>
        <v>12</v>
      </c>
      <c r="AV19" s="170" t="str">
        <f>AU19&amp;" "&amp;IF(AX19&lt;&gt;"-",'【様式2】職員名簿 '!B55&amp;"/"&amp;AW19&amp;"/"&amp;AX19,"")</f>
        <v xml:space="preserve">12 </v>
      </c>
      <c r="AW19" s="170">
        <f>'【様式2】職員名簿 '!F55</f>
        <v>0</v>
      </c>
      <c r="AX19" s="170" t="str">
        <f>IF('【様式2】職員名簿 '!K55="エラー","-",IF(AND('【様式2】職員名簿 '!C55=$AX$3,'【様式2】職員名簿 '!K55=$AX$4),$AX$3,'【様式2】職員名簿 '!K55))</f>
        <v>-</v>
      </c>
      <c r="AY19" s="783">
        <f>IF($AW19="常勤",$AN$2,IF($AW19="非常勤",'【様式2】職員名簿 '!H55,0))</f>
        <v>0</v>
      </c>
      <c r="AZ19" s="406">
        <f>IF($AX19=AZ$3,COUNTIF($AX$8:$AX19,AZ$3),0)</f>
        <v>0</v>
      </c>
      <c r="BA19" s="788" t="str">
        <f t="shared" si="2"/>
        <v/>
      </c>
      <c r="BB19" s="247">
        <f>IF(OR($AX19=BB$3,$AX19=BB$4),COUNTIF($AX$8:$AX19,BB$3)+COUNTIF($AX$8:$AX19,BB$4),0)</f>
        <v>0</v>
      </c>
      <c r="BC19" s="788" t="str">
        <f t="shared" si="3"/>
        <v/>
      </c>
      <c r="BD19" s="407">
        <f>IF(OR($AX19=$BD$4,$AX19=BD$3),COUNTIFS($AX$8:$AX19,BD$3,$AW$8:$AW19,BD$5)+COUNTIFS($AX$8:$AX19,BD$4,$AW$8:$AW19,BD$5),0)</f>
        <v>0</v>
      </c>
      <c r="BE19" s="788" t="str">
        <f t="shared" si="4"/>
        <v/>
      </c>
      <c r="BF19" s="248">
        <f>IF($AX19=BF$3,COUNTIF($AX$8:$AX19,BF$3),0)</f>
        <v>0</v>
      </c>
      <c r="BG19" s="788" t="str">
        <f t="shared" si="5"/>
        <v/>
      </c>
      <c r="BH19" s="247">
        <f>IF(OR($AX19=BH$3,$AX19=BH$4),COUNTIF($AX$8:$AX19,BH$3)+COUNTIF($AX$8:$AX19,BH$4),0)</f>
        <v>0</v>
      </c>
      <c r="BI19" s="788" t="str">
        <f t="shared" si="6"/>
        <v/>
      </c>
      <c r="BJ19" s="247">
        <f>IF($AX19=BJ$4,COUNTIFS($AW$8:$AW19,BJ$3,$AX$8:$AX19,BJ$4),0)</f>
        <v>0</v>
      </c>
      <c r="BK19" s="788" t="str">
        <f t="shared" si="7"/>
        <v/>
      </c>
      <c r="BL19" s="247">
        <f>IF($AX19=BL$3,COUNTIF($AX$8:$AX19,BL$3),0)</f>
        <v>0</v>
      </c>
      <c r="BM19" s="788" t="str">
        <f t="shared" si="8"/>
        <v/>
      </c>
      <c r="BN19" s="247">
        <f>IF($AX19=BN$3,COUNTIF($AX$8:$AX19,BN$3),0)</f>
        <v>0</v>
      </c>
      <c r="BO19" s="788" t="str">
        <f t="shared" si="9"/>
        <v/>
      </c>
      <c r="BP19" s="247">
        <f>IF($AX19&lt;&gt;BP$3,COUNTIF($AX$8:$AX19,"&lt;&gt;"&amp;BP$3),0)</f>
        <v>0</v>
      </c>
      <c r="BQ19" s="788" t="str">
        <f t="shared" si="10"/>
        <v/>
      </c>
      <c r="BR19" s="247">
        <f>IF($AX19=BR$3,COUNTIF($AX$8:$AX19,BR$3),0)</f>
        <v>0</v>
      </c>
      <c r="BS19" s="788" t="str">
        <f t="shared" si="11"/>
        <v/>
      </c>
      <c r="BT19" s="312"/>
      <c r="BU19" s="312"/>
    </row>
    <row r="20" spans="1:73" ht="15" customHeight="1">
      <c r="A20" s="2942" t="s">
        <v>129</v>
      </c>
      <c r="B20" s="2944" t="s">
        <v>808</v>
      </c>
      <c r="C20" s="2925">
        <f>【様式１】総括表・個票!R15</f>
        <v>0</v>
      </c>
      <c r="D20" s="1614" t="s">
        <v>491</v>
      </c>
      <c r="E20" s="419" t="s">
        <v>801</v>
      </c>
      <c r="F20" s="873" t="s">
        <v>804</v>
      </c>
      <c r="G20" s="866" t="s">
        <v>804</v>
      </c>
      <c r="H20" s="866" t="s">
        <v>804</v>
      </c>
      <c r="I20" s="866" t="s">
        <v>804</v>
      </c>
      <c r="J20" s="865"/>
      <c r="K20" s="865"/>
      <c r="L20" s="874"/>
      <c r="M20" s="403">
        <f>SUM(F20:L20)</f>
        <v>0</v>
      </c>
      <c r="N20" s="403">
        <f>SUM(M20,M22)</f>
        <v>0</v>
      </c>
      <c r="O20" s="1586" t="s">
        <v>1018</v>
      </c>
      <c r="AR20" s="264">
        <v>4.3</v>
      </c>
      <c r="AS20" s="264">
        <v>4.5</v>
      </c>
      <c r="AU20" s="247">
        <f t="shared" si="1"/>
        <v>13</v>
      </c>
      <c r="AV20" s="170" t="str">
        <f>AU20&amp;" "&amp;IF(AX20&lt;&gt;"-",'【様式2】職員名簿 '!B56&amp;"/"&amp;AW20&amp;"/"&amp;AX20,"")</f>
        <v xml:space="preserve">13 </v>
      </c>
      <c r="AW20" s="170">
        <f>'【様式2】職員名簿 '!F56</f>
        <v>0</v>
      </c>
      <c r="AX20" s="170" t="str">
        <f>IF('【様式2】職員名簿 '!K56="エラー","-",IF(AND('【様式2】職員名簿 '!C56=$AX$3,'【様式2】職員名簿 '!K56=$AX$4),$AX$3,'【様式2】職員名簿 '!K56))</f>
        <v>-</v>
      </c>
      <c r="AY20" s="783">
        <f>IF($AW20="常勤",$AN$2,IF($AW20="非常勤",'【様式2】職員名簿 '!H56,0))</f>
        <v>0</v>
      </c>
      <c r="AZ20" s="406">
        <f>IF($AX20=AZ$3,COUNTIF($AX$8:$AX20,AZ$3),0)</f>
        <v>0</v>
      </c>
      <c r="BA20" s="788" t="str">
        <f t="shared" si="2"/>
        <v/>
      </c>
      <c r="BB20" s="247">
        <f>IF(OR($AX20=BB$3,$AX20=BB$4),COUNTIF($AX$8:$AX20,BB$3)+COUNTIF($AX$8:$AX20,BB$4),0)</f>
        <v>0</v>
      </c>
      <c r="BC20" s="788" t="str">
        <f t="shared" si="3"/>
        <v/>
      </c>
      <c r="BD20" s="407">
        <f>IF(OR($AX20=$BD$4,$AX20=BD$3),COUNTIFS($AX$8:$AX20,BD$3,$AW$8:$AW20,BD$5)+COUNTIFS($AX$8:$AX20,BD$4,$AW$8:$AW20,BD$5),0)</f>
        <v>0</v>
      </c>
      <c r="BE20" s="788" t="str">
        <f t="shared" si="4"/>
        <v/>
      </c>
      <c r="BF20" s="248">
        <f>IF($AX20=BF$3,COUNTIF($AX$8:$AX20,BF$3),0)</f>
        <v>0</v>
      </c>
      <c r="BG20" s="788" t="str">
        <f t="shared" si="5"/>
        <v/>
      </c>
      <c r="BH20" s="247">
        <f>IF(OR($AX20=BH$3,$AX20=BH$4),COUNTIF($AX$8:$AX20,BH$3)+COUNTIF($AX$8:$AX20,BH$4),0)</f>
        <v>0</v>
      </c>
      <c r="BI20" s="788" t="str">
        <f t="shared" si="6"/>
        <v/>
      </c>
      <c r="BJ20" s="247">
        <f>IF($AX20=BJ$4,COUNTIFS($AW$8:$AW20,BJ$3,$AX$8:$AX20,BJ$4),0)</f>
        <v>0</v>
      </c>
      <c r="BK20" s="788" t="str">
        <f t="shared" si="7"/>
        <v/>
      </c>
      <c r="BL20" s="247">
        <f>IF($AX20=BL$3,COUNTIF($AX$8:$AX20,BL$3),0)</f>
        <v>0</v>
      </c>
      <c r="BM20" s="788" t="str">
        <f t="shared" si="8"/>
        <v/>
      </c>
      <c r="BN20" s="247">
        <f>IF($AX20=BN$3,COUNTIF($AX$8:$AX20,BN$3),0)</f>
        <v>0</v>
      </c>
      <c r="BO20" s="788" t="str">
        <f t="shared" si="9"/>
        <v/>
      </c>
      <c r="BP20" s="247">
        <f>IF($AX20&lt;&gt;BP$3,COUNTIF($AX$8:$AX20,"&lt;&gt;"&amp;BP$3),0)</f>
        <v>0</v>
      </c>
      <c r="BQ20" s="788" t="str">
        <f t="shared" si="10"/>
        <v/>
      </c>
      <c r="BR20" s="247">
        <f>IF($AX20=BR$3,COUNTIF($AX$8:$AX20,BR$3),0)</f>
        <v>0</v>
      </c>
      <c r="BS20" s="788" t="str">
        <f t="shared" si="11"/>
        <v/>
      </c>
      <c r="BT20" s="312"/>
      <c r="BU20" s="312"/>
    </row>
    <row r="21" spans="1:73" ht="15" customHeight="1">
      <c r="A21" s="2942"/>
      <c r="B21" s="2944"/>
      <c r="C21" s="2925"/>
      <c r="D21" s="1615"/>
      <c r="E21" s="420" t="s">
        <v>803</v>
      </c>
      <c r="F21" s="875" t="s">
        <v>804</v>
      </c>
      <c r="G21" s="876" t="s">
        <v>804</v>
      </c>
      <c r="H21" s="876" t="s">
        <v>804</v>
      </c>
      <c r="I21" s="876" t="s">
        <v>804</v>
      </c>
      <c r="J21" s="877"/>
      <c r="K21" s="877"/>
      <c r="L21" s="878"/>
      <c r="M21" s="421">
        <f t="shared" ref="M21:M23" si="18">SUM(F21:L21)</f>
        <v>0</v>
      </c>
      <c r="N21" s="421">
        <f>SUM(M21,M23)</f>
        <v>0</v>
      </c>
      <c r="O21" s="1586"/>
      <c r="AR21" s="264">
        <v>4.5</v>
      </c>
      <c r="AS21" s="264">
        <v>5</v>
      </c>
      <c r="AU21" s="247">
        <f t="shared" si="1"/>
        <v>14</v>
      </c>
      <c r="AV21" s="170" t="str">
        <f>AU21&amp;" "&amp;IF(AX21&lt;&gt;"-",'【様式2】職員名簿 '!B57&amp;"/"&amp;AW21&amp;"/"&amp;AX21,"")</f>
        <v xml:space="preserve">14 </v>
      </c>
      <c r="AW21" s="170">
        <f>'【様式2】職員名簿 '!F57</f>
        <v>0</v>
      </c>
      <c r="AX21" s="170" t="str">
        <f>IF('【様式2】職員名簿 '!K57="エラー","-",IF(AND('【様式2】職員名簿 '!C57=$AX$3,'【様式2】職員名簿 '!K57=$AX$4),$AX$3,'【様式2】職員名簿 '!K57))</f>
        <v>-</v>
      </c>
      <c r="AY21" s="783">
        <f>IF($AW21="常勤",$AN$2,IF($AW21="非常勤",'【様式2】職員名簿 '!H57,0))</f>
        <v>0</v>
      </c>
      <c r="AZ21" s="406">
        <f>IF($AX21=AZ$3,COUNTIF($AX$8:$AX21,AZ$3),0)</f>
        <v>0</v>
      </c>
      <c r="BA21" s="788" t="str">
        <f t="shared" si="2"/>
        <v/>
      </c>
      <c r="BB21" s="247">
        <f>IF(OR($AX21=BB$3,$AX21=BB$4),COUNTIF($AX$8:$AX21,BB$3)+COUNTIF($AX$8:$AX21,BB$4),0)</f>
        <v>0</v>
      </c>
      <c r="BC21" s="788" t="str">
        <f t="shared" si="3"/>
        <v/>
      </c>
      <c r="BD21" s="407">
        <f>IF(OR($AX21=$BD$4,$AX21=BD$3),COUNTIFS($AX$8:$AX21,BD$3,$AW$8:$AW21,BD$5)+COUNTIFS($AX$8:$AX21,BD$4,$AW$8:$AW21,BD$5),0)</f>
        <v>0</v>
      </c>
      <c r="BE21" s="788" t="str">
        <f t="shared" si="4"/>
        <v/>
      </c>
      <c r="BF21" s="248">
        <f>IF($AX21=BF$3,COUNTIF($AX$8:$AX21,BF$3),0)</f>
        <v>0</v>
      </c>
      <c r="BG21" s="788" t="str">
        <f t="shared" si="5"/>
        <v/>
      </c>
      <c r="BH21" s="247">
        <f>IF(OR($AX21=BH$3,$AX21=BH$4),COUNTIF($AX$8:$AX21,BH$3)+COUNTIF($AX$8:$AX21,BH$4),0)</f>
        <v>0</v>
      </c>
      <c r="BI21" s="788" t="str">
        <f t="shared" si="6"/>
        <v/>
      </c>
      <c r="BJ21" s="247">
        <f>IF($AX21=BJ$4,COUNTIFS($AW$8:$AW21,BJ$3,$AX$8:$AX21,BJ$4),0)</f>
        <v>0</v>
      </c>
      <c r="BK21" s="788" t="str">
        <f t="shared" si="7"/>
        <v/>
      </c>
      <c r="BL21" s="247">
        <f>IF($AX21=BL$3,COUNTIF($AX$8:$AX21,BL$3),0)</f>
        <v>0</v>
      </c>
      <c r="BM21" s="788" t="str">
        <f t="shared" si="8"/>
        <v/>
      </c>
      <c r="BN21" s="247">
        <f>IF($AX21=BN$3,COUNTIF($AX$8:$AX21,BN$3),0)</f>
        <v>0</v>
      </c>
      <c r="BO21" s="788" t="str">
        <f t="shared" si="9"/>
        <v/>
      </c>
      <c r="BP21" s="247">
        <f>IF($AX21&lt;&gt;BP$3,COUNTIF($AX$8:$AX21,"&lt;&gt;"&amp;BP$3),0)</f>
        <v>0</v>
      </c>
      <c r="BQ21" s="788" t="str">
        <f t="shared" si="10"/>
        <v/>
      </c>
      <c r="BR21" s="247">
        <f>IF($AX21=BR$3,COUNTIF($AX$8:$AX21,BR$3),0)</f>
        <v>0</v>
      </c>
      <c r="BS21" s="788" t="str">
        <f t="shared" si="11"/>
        <v/>
      </c>
      <c r="BT21" s="312"/>
      <c r="BU21" s="312"/>
    </row>
    <row r="22" spans="1:73" ht="15" customHeight="1">
      <c r="A22" s="2942"/>
      <c r="B22" s="2944"/>
      <c r="C22" s="2925"/>
      <c r="D22" s="2742" t="s">
        <v>496</v>
      </c>
      <c r="E22" s="412" t="s">
        <v>801</v>
      </c>
      <c r="F22" s="879" t="s">
        <v>804</v>
      </c>
      <c r="G22" s="872" t="s">
        <v>804</v>
      </c>
      <c r="H22" s="872" t="s">
        <v>804</v>
      </c>
      <c r="I22" s="872" t="s">
        <v>804</v>
      </c>
      <c r="J22" s="871"/>
      <c r="K22" s="871"/>
      <c r="L22" s="880"/>
      <c r="M22" s="413">
        <f>SUM(F22:L22)</f>
        <v>0</v>
      </c>
      <c r="N22" s="414" t="s">
        <v>809</v>
      </c>
      <c r="O22" s="1586"/>
      <c r="AR22" s="264">
        <v>5.3</v>
      </c>
      <c r="AS22" s="264">
        <v>5.5</v>
      </c>
      <c r="AU22" s="247">
        <f t="shared" si="1"/>
        <v>15</v>
      </c>
      <c r="AV22" s="170" t="str">
        <f>AU22&amp;" "&amp;IF(AX22&lt;&gt;"-",'【様式2】職員名簿 '!B58&amp;"/"&amp;AW22&amp;"/"&amp;AX22,"")</f>
        <v xml:space="preserve">15 </v>
      </c>
      <c r="AW22" s="170">
        <f>'【様式2】職員名簿 '!F58</f>
        <v>0</v>
      </c>
      <c r="AX22" s="170" t="str">
        <f>IF('【様式2】職員名簿 '!K58="エラー","-",IF(AND('【様式2】職員名簿 '!C58=$AX$3,'【様式2】職員名簿 '!K58=$AX$4),$AX$3,'【様式2】職員名簿 '!K58))</f>
        <v>-</v>
      </c>
      <c r="AY22" s="783">
        <f>IF($AW22="常勤",$AN$2,IF($AW22="非常勤",'【様式2】職員名簿 '!H58,0))</f>
        <v>0</v>
      </c>
      <c r="AZ22" s="406">
        <f>IF($AX22=AZ$3,COUNTIF($AX$8:$AX22,AZ$3),0)</f>
        <v>0</v>
      </c>
      <c r="BA22" s="788" t="str">
        <f t="shared" si="2"/>
        <v/>
      </c>
      <c r="BB22" s="247">
        <f>IF(OR($AX22=BB$3,$AX22=BB$4),COUNTIF($AX$8:$AX22,BB$3)+COUNTIF($AX$8:$AX22,BB$4),0)</f>
        <v>0</v>
      </c>
      <c r="BC22" s="788" t="str">
        <f t="shared" si="3"/>
        <v/>
      </c>
      <c r="BD22" s="407">
        <f>IF(OR($AX22=$BD$4,$AX22=BD$3),COUNTIFS($AX$8:$AX22,BD$3,$AW$8:$AW22,BD$5)+COUNTIFS($AX$8:$AX22,BD$4,$AW$8:$AW22,BD$5),0)</f>
        <v>0</v>
      </c>
      <c r="BE22" s="788" t="str">
        <f t="shared" si="4"/>
        <v/>
      </c>
      <c r="BF22" s="248">
        <f>IF($AX22=BF$3,COUNTIF($AX$8:$AX22,BF$3),0)</f>
        <v>0</v>
      </c>
      <c r="BG22" s="788" t="str">
        <f t="shared" si="5"/>
        <v/>
      </c>
      <c r="BH22" s="247">
        <f>IF(OR($AX22=BH$3,$AX22=BH$4),COUNTIF($AX$8:$AX22,BH$3)+COUNTIF($AX$8:$AX22,BH$4),0)</f>
        <v>0</v>
      </c>
      <c r="BI22" s="788" t="str">
        <f t="shared" si="6"/>
        <v/>
      </c>
      <c r="BJ22" s="247">
        <f>IF($AX22=BJ$4,COUNTIFS($AW$8:$AW22,BJ$3,$AX$8:$AX22,BJ$4),0)</f>
        <v>0</v>
      </c>
      <c r="BK22" s="788" t="str">
        <f t="shared" si="7"/>
        <v/>
      </c>
      <c r="BL22" s="247">
        <f>IF($AX22=BL$3,COUNTIF($AX$8:$AX22,BL$3),0)</f>
        <v>0</v>
      </c>
      <c r="BM22" s="788" t="str">
        <f t="shared" si="8"/>
        <v/>
      </c>
      <c r="BN22" s="247">
        <f>IF($AX22=BN$3,COUNTIF($AX$8:$AX22,BN$3),0)</f>
        <v>0</v>
      </c>
      <c r="BO22" s="788" t="str">
        <f t="shared" si="9"/>
        <v/>
      </c>
      <c r="BP22" s="247">
        <f>IF($AX22&lt;&gt;BP$3,COUNTIF($AX$8:$AX22,"&lt;&gt;"&amp;BP$3),0)</f>
        <v>0</v>
      </c>
      <c r="BQ22" s="788" t="str">
        <f t="shared" si="10"/>
        <v/>
      </c>
      <c r="BR22" s="247">
        <f>IF($AX22=BR$3,COUNTIF($AX$8:$AX22,BR$3),0)</f>
        <v>0</v>
      </c>
      <c r="BS22" s="788" t="str">
        <f t="shared" si="11"/>
        <v/>
      </c>
      <c r="BT22" s="312"/>
      <c r="BU22" s="312"/>
    </row>
    <row r="23" spans="1:73" ht="15" customHeight="1">
      <c r="A23" s="2943"/>
      <c r="B23" s="2944"/>
      <c r="C23" s="2925"/>
      <c r="D23" s="1615"/>
      <c r="E23" s="420" t="s">
        <v>803</v>
      </c>
      <c r="F23" s="875" t="s">
        <v>804</v>
      </c>
      <c r="G23" s="876" t="s">
        <v>804</v>
      </c>
      <c r="H23" s="876" t="s">
        <v>804</v>
      </c>
      <c r="I23" s="876" t="s">
        <v>804</v>
      </c>
      <c r="J23" s="877"/>
      <c r="K23" s="877"/>
      <c r="L23" s="878"/>
      <c r="M23" s="421">
        <f t="shared" si="18"/>
        <v>0</v>
      </c>
      <c r="N23" s="422" t="s">
        <v>750</v>
      </c>
      <c r="O23" s="1586"/>
      <c r="AR23" s="264">
        <v>5.5</v>
      </c>
      <c r="AS23" s="264">
        <v>6</v>
      </c>
      <c r="AU23" s="247">
        <f t="shared" si="1"/>
        <v>16</v>
      </c>
      <c r="AV23" s="170" t="str">
        <f>AU23&amp;" "&amp;IF(AX23&lt;&gt;"-",'【様式2】職員名簿 '!B59&amp;"/"&amp;AW23&amp;"/"&amp;AX23,"")</f>
        <v xml:space="preserve">16 </v>
      </c>
      <c r="AW23" s="170">
        <f>'【様式2】職員名簿 '!F59</f>
        <v>0</v>
      </c>
      <c r="AX23" s="170" t="str">
        <f>IF('【様式2】職員名簿 '!K59="エラー","-",IF(AND('【様式2】職員名簿 '!C59=$AX$3,'【様式2】職員名簿 '!K59=$AX$4),$AX$3,'【様式2】職員名簿 '!K59))</f>
        <v>-</v>
      </c>
      <c r="AY23" s="783">
        <f>IF($AW23="常勤",$AN$2,IF($AW23="非常勤",'【様式2】職員名簿 '!H59,0))</f>
        <v>0</v>
      </c>
      <c r="AZ23" s="406">
        <f>IF($AX23=AZ$3,COUNTIF($AX$8:$AX23,AZ$3),0)</f>
        <v>0</v>
      </c>
      <c r="BA23" s="788" t="str">
        <f t="shared" si="2"/>
        <v/>
      </c>
      <c r="BB23" s="247">
        <f>IF(OR($AX23=BB$3,$AX23=BB$4),COUNTIF($AX$8:$AX23,BB$3)+COUNTIF($AX$8:$AX23,BB$4),0)</f>
        <v>0</v>
      </c>
      <c r="BC23" s="788" t="str">
        <f t="shared" si="3"/>
        <v/>
      </c>
      <c r="BD23" s="407">
        <f>IF(OR($AX23=$BD$4,$AX23=BD$3),COUNTIFS($AX$8:$AX23,BD$3,$AW$8:$AW23,BD$5)+COUNTIFS($AX$8:$AX23,BD$4,$AW$8:$AW23,BD$5),0)</f>
        <v>0</v>
      </c>
      <c r="BE23" s="788" t="str">
        <f t="shared" si="4"/>
        <v/>
      </c>
      <c r="BF23" s="248">
        <f>IF($AX23=BF$3,COUNTIF($AX$8:$AX23,BF$3),0)</f>
        <v>0</v>
      </c>
      <c r="BG23" s="788" t="str">
        <f t="shared" si="5"/>
        <v/>
      </c>
      <c r="BH23" s="247">
        <f>IF(OR($AX23=BH$3,$AX23=BH$4),COUNTIF($AX$8:$AX23,BH$3)+COUNTIF($AX$8:$AX23,BH$4),0)</f>
        <v>0</v>
      </c>
      <c r="BI23" s="788" t="str">
        <f t="shared" si="6"/>
        <v/>
      </c>
      <c r="BJ23" s="247">
        <f>IF($AX23=BJ$4,COUNTIFS($AW$8:$AW23,BJ$3,$AX$8:$AX23,BJ$4),0)</f>
        <v>0</v>
      </c>
      <c r="BK23" s="788" t="str">
        <f t="shared" si="7"/>
        <v/>
      </c>
      <c r="BL23" s="247">
        <f>IF($AX23=BL$3,COUNTIF($AX$8:$AX23,BL$3),0)</f>
        <v>0</v>
      </c>
      <c r="BM23" s="788" t="str">
        <f t="shared" si="8"/>
        <v/>
      </c>
      <c r="BN23" s="247">
        <f>IF($AX23=BN$3,COUNTIF($AX$8:$AX23,BN$3),0)</f>
        <v>0</v>
      </c>
      <c r="BO23" s="788" t="str">
        <f t="shared" si="9"/>
        <v/>
      </c>
      <c r="BP23" s="247">
        <f>IF($AX23&lt;&gt;BP$3,COUNTIF($AX$8:$AX23,"&lt;&gt;"&amp;BP$3),0)</f>
        <v>0</v>
      </c>
      <c r="BQ23" s="788" t="str">
        <f t="shared" si="10"/>
        <v/>
      </c>
      <c r="BR23" s="247">
        <f>IF($AX23=BR$3,COUNTIF($AX$8:$AX23,BR$3),0)</f>
        <v>0</v>
      </c>
      <c r="BS23" s="788" t="str">
        <f t="shared" si="11"/>
        <v/>
      </c>
      <c r="BT23" s="312"/>
      <c r="BU23" s="312"/>
    </row>
    <row r="24" spans="1:73" ht="15" customHeight="1">
      <c r="A24" s="986" t="s">
        <v>15</v>
      </c>
      <c r="B24" s="2925">
        <f>SUM(C20)</f>
        <v>0</v>
      </c>
      <c r="C24" s="2925"/>
      <c r="D24" s="2926"/>
      <c r="E24" s="2926"/>
      <c r="F24" s="881">
        <f>SUM(F20:F23)</f>
        <v>0</v>
      </c>
      <c r="G24" s="882">
        <f t="shared" ref="G24:L24" si="19">SUM(G20:G23)</f>
        <v>0</v>
      </c>
      <c r="H24" s="882">
        <f t="shared" si="19"/>
        <v>0</v>
      </c>
      <c r="I24" s="882">
        <f>SUM(I20:I23)</f>
        <v>0</v>
      </c>
      <c r="J24" s="882">
        <f t="shared" si="19"/>
        <v>0</v>
      </c>
      <c r="K24" s="882">
        <f t="shared" si="19"/>
        <v>0</v>
      </c>
      <c r="L24" s="883">
        <f t="shared" si="19"/>
        <v>0</v>
      </c>
      <c r="M24" s="423">
        <f>SUM(M20:M23)</f>
        <v>0</v>
      </c>
      <c r="N24" s="424">
        <f>SUM(N20:N23)</f>
        <v>0</v>
      </c>
      <c r="O24" s="144"/>
      <c r="AR24" s="264">
        <v>6.3</v>
      </c>
      <c r="AS24" s="264">
        <v>6.5</v>
      </c>
      <c r="AU24" s="247">
        <f t="shared" si="1"/>
        <v>17</v>
      </c>
      <c r="AV24" s="170" t="str">
        <f>AU24&amp;" "&amp;IF(AX24&lt;&gt;"-",'【様式2】職員名簿 '!B60&amp;"/"&amp;AW24&amp;"/"&amp;AX24,"")</f>
        <v xml:space="preserve">17 </v>
      </c>
      <c r="AW24" s="170">
        <f>'【様式2】職員名簿 '!F60</f>
        <v>0</v>
      </c>
      <c r="AX24" s="170" t="str">
        <f>IF('【様式2】職員名簿 '!K60="エラー","-",IF(AND('【様式2】職員名簿 '!C60=$AX$3,'【様式2】職員名簿 '!K60=$AX$4),$AX$3,'【様式2】職員名簿 '!K60))</f>
        <v>-</v>
      </c>
      <c r="AY24" s="783">
        <f>IF($AW24="常勤",$AN$2,IF($AW24="非常勤",'【様式2】職員名簿 '!H60,0))</f>
        <v>0</v>
      </c>
      <c r="AZ24" s="406">
        <f>IF($AX24=AZ$3,COUNTIF($AX$8:$AX24,AZ$3),0)</f>
        <v>0</v>
      </c>
      <c r="BA24" s="788" t="str">
        <f t="shared" si="2"/>
        <v/>
      </c>
      <c r="BB24" s="247">
        <f>IF(OR($AX24=BB$3,$AX24=BB$4),COUNTIF($AX$8:$AX24,BB$3)+COUNTIF($AX$8:$AX24,BB$4),0)</f>
        <v>0</v>
      </c>
      <c r="BC24" s="788" t="str">
        <f t="shared" si="3"/>
        <v/>
      </c>
      <c r="BD24" s="407">
        <f>IF(OR($AX24=$BD$4,$AX24=BD$3),COUNTIFS($AX$8:$AX24,BD$3,$AW$8:$AW24,BD$5)+COUNTIFS($AX$8:$AX24,BD$4,$AW$8:$AW24,BD$5),0)</f>
        <v>0</v>
      </c>
      <c r="BE24" s="788" t="str">
        <f t="shared" si="4"/>
        <v/>
      </c>
      <c r="BF24" s="248">
        <f>IF($AX24=BF$3,COUNTIF($AX$8:$AX24,BF$3),0)</f>
        <v>0</v>
      </c>
      <c r="BG24" s="788" t="str">
        <f t="shared" si="5"/>
        <v/>
      </c>
      <c r="BH24" s="247">
        <f>IF(OR($AX24=BH$3,$AX24=BH$4),COUNTIF($AX$8:$AX24,BH$3)+COUNTIF($AX$8:$AX24,BH$4),0)</f>
        <v>0</v>
      </c>
      <c r="BI24" s="788" t="str">
        <f t="shared" si="6"/>
        <v/>
      </c>
      <c r="BJ24" s="247">
        <f>IF($AX24=BJ$4,COUNTIFS($AW$8:$AW24,BJ$3,$AX$8:$AX24,BJ$4),0)</f>
        <v>0</v>
      </c>
      <c r="BK24" s="788" t="str">
        <f t="shared" si="7"/>
        <v/>
      </c>
      <c r="BL24" s="247">
        <f>IF($AX24=BL$3,COUNTIF($AX$8:$AX24,BL$3),0)</f>
        <v>0</v>
      </c>
      <c r="BM24" s="788" t="str">
        <f t="shared" si="8"/>
        <v/>
      </c>
      <c r="BN24" s="247">
        <f>IF($AX24=BN$3,COUNTIF($AX$8:$AX24,BN$3),0)</f>
        <v>0</v>
      </c>
      <c r="BO24" s="788" t="str">
        <f t="shared" si="9"/>
        <v/>
      </c>
      <c r="BP24" s="247">
        <f>IF($AX24&lt;&gt;BP$3,COUNTIF($AX$8:$AX24,"&lt;&gt;"&amp;BP$3),0)</f>
        <v>0</v>
      </c>
      <c r="BQ24" s="788" t="str">
        <f t="shared" si="10"/>
        <v/>
      </c>
      <c r="BR24" s="247">
        <f>IF($AX24=BR$3,COUNTIF($AX$8:$AX24,BR$3),0)</f>
        <v>0</v>
      </c>
      <c r="BS24" s="788" t="str">
        <f t="shared" si="11"/>
        <v/>
      </c>
      <c r="BT24" s="312"/>
      <c r="BU24" s="312"/>
    </row>
    <row r="25" spans="1:73" ht="15" customHeight="1">
      <c r="A25" s="735" t="s">
        <v>161</v>
      </c>
      <c r="B25" s="2925">
        <f>SUM(B10,B17,B24)</f>
        <v>0</v>
      </c>
      <c r="C25" s="2925"/>
      <c r="D25" s="2927"/>
      <c r="E25" s="2927"/>
      <c r="F25" s="884">
        <f>SUM(F10,F17,F24)</f>
        <v>0</v>
      </c>
      <c r="G25" s="859">
        <f t="shared" ref="G25:M25" si="20">SUM(G10,G17,G24)</f>
        <v>0</v>
      </c>
      <c r="H25" s="859">
        <f t="shared" si="20"/>
        <v>0</v>
      </c>
      <c r="I25" s="859">
        <f t="shared" si="20"/>
        <v>0</v>
      </c>
      <c r="J25" s="859">
        <f t="shared" si="20"/>
        <v>0</v>
      </c>
      <c r="K25" s="859">
        <f t="shared" si="20"/>
        <v>0</v>
      </c>
      <c r="L25" s="860">
        <f t="shared" si="20"/>
        <v>0</v>
      </c>
      <c r="M25" s="425">
        <f t="shared" si="20"/>
        <v>0</v>
      </c>
      <c r="N25" s="425">
        <f>SUM(N10,N17,N24)</f>
        <v>0</v>
      </c>
      <c r="O25" s="144"/>
      <c r="AR25" s="264">
        <v>6.5</v>
      </c>
      <c r="AS25" s="264">
        <v>7</v>
      </c>
      <c r="AU25" s="247">
        <f t="shared" si="1"/>
        <v>18</v>
      </c>
      <c r="AV25" s="170" t="str">
        <f>AU25&amp;" "&amp;IF(AX25&lt;&gt;"-",'【様式2】職員名簿 '!B61&amp;"/"&amp;AW25&amp;"/"&amp;AX25,"")</f>
        <v xml:space="preserve">18 </v>
      </c>
      <c r="AW25" s="170">
        <f>'【様式2】職員名簿 '!F61</f>
        <v>0</v>
      </c>
      <c r="AX25" s="170" t="str">
        <f>IF('【様式2】職員名簿 '!K61="エラー","-",IF(AND('【様式2】職員名簿 '!C61=$AX$3,'【様式2】職員名簿 '!K61=$AX$4),$AX$3,'【様式2】職員名簿 '!K61))</f>
        <v>-</v>
      </c>
      <c r="AY25" s="783">
        <f>IF($AW25="常勤",$AN$2,IF($AW25="非常勤",'【様式2】職員名簿 '!H61,0))</f>
        <v>0</v>
      </c>
      <c r="AZ25" s="406">
        <f>IF($AX25=AZ$3,COUNTIF($AX$8:$AX25,AZ$3),0)</f>
        <v>0</v>
      </c>
      <c r="BA25" s="788" t="str">
        <f t="shared" si="2"/>
        <v/>
      </c>
      <c r="BB25" s="247">
        <f>IF(OR($AX25=BB$3,$AX25=BB$4),COUNTIF($AX$8:$AX25,BB$3)+COUNTIF($AX$8:$AX25,BB$4),0)</f>
        <v>0</v>
      </c>
      <c r="BC25" s="788" t="str">
        <f t="shared" si="3"/>
        <v/>
      </c>
      <c r="BD25" s="407">
        <f>IF(OR($AX25=$BD$4,$AX25=BD$3),COUNTIFS($AX$8:$AX25,BD$3,$AW$8:$AW25,BD$5)+COUNTIFS($AX$8:$AX25,BD$4,$AW$8:$AW25,BD$5),0)</f>
        <v>0</v>
      </c>
      <c r="BE25" s="788" t="str">
        <f t="shared" si="4"/>
        <v/>
      </c>
      <c r="BF25" s="248">
        <f>IF($AX25=BF$3,COUNTIF($AX$8:$AX25,BF$3),0)</f>
        <v>0</v>
      </c>
      <c r="BG25" s="788" t="str">
        <f t="shared" si="5"/>
        <v/>
      </c>
      <c r="BH25" s="247">
        <f>IF(OR($AX25=BH$3,$AX25=BH$4),COUNTIF($AX$8:$AX25,BH$3)+COUNTIF($AX$8:$AX25,BH$4),0)</f>
        <v>0</v>
      </c>
      <c r="BI25" s="788" t="str">
        <f t="shared" si="6"/>
        <v/>
      </c>
      <c r="BJ25" s="247">
        <f>IF($AX25=BJ$4,COUNTIFS($AW$8:$AW25,BJ$3,$AX$8:$AX25,BJ$4),0)</f>
        <v>0</v>
      </c>
      <c r="BK25" s="788" t="str">
        <f t="shared" si="7"/>
        <v/>
      </c>
      <c r="BL25" s="247">
        <f>IF($AX25=BL$3,COUNTIF($AX$8:$AX25,BL$3),0)</f>
        <v>0</v>
      </c>
      <c r="BM25" s="788" t="str">
        <f t="shared" si="8"/>
        <v/>
      </c>
      <c r="BN25" s="247">
        <f>IF($AX25=BN$3,COUNTIF($AX$8:$AX25,BN$3),0)</f>
        <v>0</v>
      </c>
      <c r="BO25" s="788" t="str">
        <f t="shared" si="9"/>
        <v/>
      </c>
      <c r="BP25" s="247">
        <f>IF($AX25&lt;&gt;BP$3,COUNTIF($AX$8:$AX25,"&lt;&gt;"&amp;BP$3),0)</f>
        <v>0</v>
      </c>
      <c r="BQ25" s="788" t="str">
        <f t="shared" si="10"/>
        <v/>
      </c>
      <c r="BR25" s="247">
        <f>IF($AX25=BR$3,COUNTIF($AX$8:$AX25,BR$3),0)</f>
        <v>0</v>
      </c>
      <c r="BS25" s="788" t="str">
        <f t="shared" si="11"/>
        <v/>
      </c>
      <c r="BT25" s="312"/>
      <c r="BU25" s="312"/>
    </row>
    <row r="26" spans="1:73" ht="15" customHeight="1">
      <c r="A26" s="757"/>
      <c r="B26" s="144"/>
      <c r="C26" s="144"/>
      <c r="D26" s="148"/>
      <c r="E26" s="148"/>
      <c r="F26" s="148"/>
      <c r="G26" s="148"/>
      <c r="H26" s="757"/>
      <c r="I26" s="148"/>
      <c r="J26" s="144"/>
      <c r="K26" s="144"/>
      <c r="L26" s="144"/>
      <c r="M26" s="144"/>
      <c r="N26" s="144"/>
      <c r="O26" s="144"/>
      <c r="AR26" s="264">
        <v>7.3</v>
      </c>
      <c r="AS26" s="264">
        <v>7.5</v>
      </c>
      <c r="AU26" s="247">
        <f t="shared" si="1"/>
        <v>19</v>
      </c>
      <c r="AV26" s="170" t="str">
        <f>AU26&amp;" "&amp;IF(AX26&lt;&gt;"-",'【様式2】職員名簿 '!B62&amp;"/"&amp;AW26&amp;"/"&amp;AX26,"")</f>
        <v xml:space="preserve">19 </v>
      </c>
      <c r="AW26" s="170">
        <f>'【様式2】職員名簿 '!F62</f>
        <v>0</v>
      </c>
      <c r="AX26" s="170" t="str">
        <f>IF('【様式2】職員名簿 '!K62="エラー","-",IF(AND('【様式2】職員名簿 '!C62=$AX$3,'【様式2】職員名簿 '!K62=$AX$4),$AX$3,'【様式2】職員名簿 '!K62))</f>
        <v>-</v>
      </c>
      <c r="AY26" s="783">
        <f>IF($AW26="常勤",$AN$2,IF($AW26="非常勤",'【様式2】職員名簿 '!H62,0))</f>
        <v>0</v>
      </c>
      <c r="AZ26" s="406">
        <f>IF($AX26=AZ$3,COUNTIF($AX$8:$AX26,AZ$3),0)</f>
        <v>0</v>
      </c>
      <c r="BA26" s="788" t="str">
        <f t="shared" si="2"/>
        <v/>
      </c>
      <c r="BB26" s="247">
        <f>IF(OR($AX26=BB$3,$AX26=BB$4),COUNTIF($AX$8:$AX26,BB$3)+COUNTIF($AX$8:$AX26,BB$4),0)</f>
        <v>0</v>
      </c>
      <c r="BC26" s="788" t="str">
        <f t="shared" si="3"/>
        <v/>
      </c>
      <c r="BD26" s="407">
        <f>IF(OR($AX26=$BD$4,$AX26=BD$3),COUNTIFS($AX$8:$AX26,BD$3,$AW$8:$AW26,BD$5)+COUNTIFS($AX$8:$AX26,BD$4,$AW$8:$AW26,BD$5),0)</f>
        <v>0</v>
      </c>
      <c r="BE26" s="788" t="str">
        <f t="shared" si="4"/>
        <v/>
      </c>
      <c r="BF26" s="248">
        <f>IF($AX26=BF$3,COUNTIF($AX$8:$AX26,BF$3),0)</f>
        <v>0</v>
      </c>
      <c r="BG26" s="788" t="str">
        <f t="shared" si="5"/>
        <v/>
      </c>
      <c r="BH26" s="247">
        <f>IF(OR($AX26=BH$3,$AX26=BH$4),COUNTIF($AX$8:$AX26,BH$3)+COUNTIF($AX$8:$AX26,BH$4),0)</f>
        <v>0</v>
      </c>
      <c r="BI26" s="788" t="str">
        <f t="shared" si="6"/>
        <v/>
      </c>
      <c r="BJ26" s="247">
        <f>IF($AX26=BJ$4,COUNTIFS($AW$8:$AW26,BJ$3,$AX$8:$AX26,BJ$4),0)</f>
        <v>0</v>
      </c>
      <c r="BK26" s="788" t="str">
        <f t="shared" si="7"/>
        <v/>
      </c>
      <c r="BL26" s="247">
        <f>IF($AX26=BL$3,COUNTIF($AX$8:$AX26,BL$3),0)</f>
        <v>0</v>
      </c>
      <c r="BM26" s="788" t="str">
        <f t="shared" si="8"/>
        <v/>
      </c>
      <c r="BN26" s="247">
        <f>IF($AX26=BN$3,COUNTIF($AX$8:$AX26,BN$3),0)</f>
        <v>0</v>
      </c>
      <c r="BO26" s="788" t="str">
        <f t="shared" si="9"/>
        <v/>
      </c>
      <c r="BP26" s="247">
        <f>IF($AX26&lt;&gt;BP$3,COUNTIF($AX$8:$AX26,"&lt;&gt;"&amp;BP$3),0)</f>
        <v>0</v>
      </c>
      <c r="BQ26" s="788" t="str">
        <f t="shared" si="10"/>
        <v/>
      </c>
      <c r="BR26" s="247">
        <f>IF($AX26=BR$3,COUNTIF($AX$8:$AX26,BR$3),0)</f>
        <v>0</v>
      </c>
      <c r="BS26" s="788" t="str">
        <f t="shared" si="11"/>
        <v/>
      </c>
      <c r="BT26" s="312"/>
      <c r="BU26" s="312"/>
    </row>
    <row r="27" spans="1:73" ht="15" customHeight="1" thickBot="1">
      <c r="A27" s="149" t="s">
        <v>810</v>
      </c>
      <c r="B27" s="144"/>
      <c r="C27" s="144"/>
      <c r="D27" s="144"/>
      <c r="E27" s="144"/>
      <c r="F27" s="144"/>
      <c r="G27" s="144"/>
      <c r="H27" s="144"/>
      <c r="I27" s="144"/>
      <c r="J27" s="144"/>
      <c r="K27" s="144"/>
      <c r="L27" s="144"/>
      <c r="M27" s="182"/>
      <c r="N27" s="144"/>
      <c r="O27" s="144"/>
      <c r="Q27" s="426"/>
      <c r="R27" s="426"/>
      <c r="S27" s="426"/>
      <c r="T27" s="426"/>
      <c r="U27" s="427"/>
      <c r="V27" s="427"/>
      <c r="W27" s="427"/>
      <c r="X27" s="427"/>
      <c r="Y27" s="427"/>
      <c r="Z27" s="427"/>
      <c r="AA27" s="427"/>
      <c r="AB27" s="427"/>
      <c r="AC27" s="427"/>
      <c r="AD27" s="427"/>
      <c r="AE27" s="427"/>
      <c r="AF27" s="427"/>
      <c r="AG27" s="427"/>
      <c r="AH27" s="427"/>
      <c r="AI27" s="427"/>
      <c r="AJ27" s="427"/>
      <c r="AK27" s="427"/>
      <c r="AR27" s="264">
        <v>7.5</v>
      </c>
      <c r="AS27" s="264">
        <v>8</v>
      </c>
      <c r="AU27" s="247">
        <f t="shared" si="1"/>
        <v>20</v>
      </c>
      <c r="AV27" s="170" t="str">
        <f>AU27&amp;" "&amp;IF(AX27&lt;&gt;"-",'【様式2】職員名簿 '!B63&amp;"/"&amp;AW27&amp;"/"&amp;AX27,"")</f>
        <v xml:space="preserve">20 </v>
      </c>
      <c r="AW27" s="170">
        <f>'【様式2】職員名簿 '!F63</f>
        <v>0</v>
      </c>
      <c r="AX27" s="170" t="str">
        <f>IF('【様式2】職員名簿 '!K63="エラー","-",IF(AND('【様式2】職員名簿 '!C63=$AX$3,'【様式2】職員名簿 '!K63=$AX$4),$AX$3,'【様式2】職員名簿 '!K63))</f>
        <v>-</v>
      </c>
      <c r="AY27" s="783">
        <f>IF($AW27="常勤",$AN$2,IF($AW27="非常勤",'【様式2】職員名簿 '!H63,0))</f>
        <v>0</v>
      </c>
      <c r="AZ27" s="406">
        <f>IF($AX27=AZ$3,COUNTIF($AX$8:$AX27,AZ$3),0)</f>
        <v>0</v>
      </c>
      <c r="BA27" s="788" t="str">
        <f t="shared" si="2"/>
        <v/>
      </c>
      <c r="BB27" s="247">
        <f>IF(OR($AX27=BB$3,$AX27=BB$4),COUNTIF($AX$8:$AX27,BB$3)+COUNTIF($AX$8:$AX27,BB$4),0)</f>
        <v>0</v>
      </c>
      <c r="BC27" s="788" t="str">
        <f t="shared" si="3"/>
        <v/>
      </c>
      <c r="BD27" s="407">
        <f>IF(OR($AX27=$BD$4,$AX27=BD$3),COUNTIFS($AX$8:$AX27,BD$3,$AW$8:$AW27,BD$5)+COUNTIFS($AX$8:$AX27,BD$4,$AW$8:$AW27,BD$5),0)</f>
        <v>0</v>
      </c>
      <c r="BE27" s="788" t="str">
        <f t="shared" si="4"/>
        <v/>
      </c>
      <c r="BF27" s="248">
        <f>IF($AX27=BF$3,COUNTIF($AX$8:$AX27,BF$3),0)</f>
        <v>0</v>
      </c>
      <c r="BG27" s="788" t="str">
        <f t="shared" si="5"/>
        <v/>
      </c>
      <c r="BH27" s="247">
        <f>IF(OR($AX27=BH$3,$AX27=BH$4),COUNTIF($AX$8:$AX27,BH$3)+COUNTIF($AX$8:$AX27,BH$4),0)</f>
        <v>0</v>
      </c>
      <c r="BI27" s="788" t="str">
        <f t="shared" si="6"/>
        <v/>
      </c>
      <c r="BJ27" s="247">
        <f>IF($AX27=BJ$4,COUNTIFS($AW$8:$AW27,BJ$3,$AX$8:$AX27,BJ$4),0)</f>
        <v>0</v>
      </c>
      <c r="BK27" s="788" t="str">
        <f t="shared" si="7"/>
        <v/>
      </c>
      <c r="BL27" s="247">
        <f>IF($AX27=BL$3,COUNTIF($AX$8:$AX27,BL$3),0)</f>
        <v>0</v>
      </c>
      <c r="BM27" s="788" t="str">
        <f t="shared" si="8"/>
        <v/>
      </c>
      <c r="BN27" s="247">
        <f>IF($AX27=BN$3,COUNTIF($AX$8:$AX27,BN$3),0)</f>
        <v>0</v>
      </c>
      <c r="BO27" s="788" t="str">
        <f t="shared" si="9"/>
        <v/>
      </c>
      <c r="BP27" s="247">
        <f>IF($AX27&lt;&gt;BP$3,COUNTIF($AX$8:$AX27,"&lt;&gt;"&amp;BP$3),0)</f>
        <v>0</v>
      </c>
      <c r="BQ27" s="788" t="str">
        <f t="shared" si="10"/>
        <v/>
      </c>
      <c r="BR27" s="247">
        <f>IF($AX27=BR$3,COUNTIF($AX$8:$AX27,BR$3),0)</f>
        <v>0</v>
      </c>
      <c r="BS27" s="788" t="str">
        <f t="shared" si="11"/>
        <v/>
      </c>
      <c r="BT27" s="312"/>
      <c r="BU27" s="312"/>
    </row>
    <row r="28" spans="1:73" ht="15" customHeight="1">
      <c r="A28" s="2928" t="s">
        <v>103</v>
      </c>
      <c r="B28" s="2929"/>
      <c r="C28" s="2930"/>
      <c r="D28" s="2931" t="s">
        <v>1215</v>
      </c>
      <c r="E28" s="2932"/>
      <c r="F28" s="2932"/>
      <c r="G28" s="2932"/>
      <c r="H28" s="2932"/>
      <c r="I28" s="2932"/>
      <c r="J28" s="2932"/>
      <c r="K28" s="2932"/>
      <c r="L28" s="2932"/>
      <c r="M28" s="2933"/>
      <c r="N28" s="2780" t="s">
        <v>342</v>
      </c>
      <c r="O28" s="2884"/>
      <c r="P28" s="136"/>
      <c r="Q28" s="2876" t="s">
        <v>811</v>
      </c>
      <c r="R28" s="2877"/>
      <c r="S28" s="2967" t="s">
        <v>94</v>
      </c>
      <c r="T28" s="2961" t="s">
        <v>812</v>
      </c>
      <c r="U28" s="2880" t="s">
        <v>813</v>
      </c>
      <c r="V28" s="2876" t="s">
        <v>814</v>
      </c>
      <c r="W28" s="2883"/>
      <c r="X28" s="2883"/>
      <c r="Y28" s="2883"/>
      <c r="Z28" s="2883"/>
      <c r="AA28" s="2883"/>
      <c r="AB28" s="2883"/>
      <c r="AC28" s="2883"/>
      <c r="AD28" s="2883"/>
      <c r="AE28" s="2883"/>
      <c r="AF28" s="2877"/>
      <c r="AG28" s="2876" t="s">
        <v>815</v>
      </c>
      <c r="AH28" s="2883"/>
      <c r="AI28" s="2958" t="s">
        <v>816</v>
      </c>
      <c r="AJ28" s="2959"/>
      <c r="AK28" s="2960"/>
      <c r="AU28" s="247">
        <f t="shared" si="1"/>
        <v>21</v>
      </c>
      <c r="AV28" s="170" t="str">
        <f>AU28&amp;" "&amp;IF(AX28&lt;&gt;"-",'【様式2】職員名簿 '!B64&amp;"/"&amp;AW28&amp;"/"&amp;AX28,"")</f>
        <v xml:space="preserve">21 </v>
      </c>
      <c r="AW28" s="170">
        <f>'【様式2】職員名簿 '!F64</f>
        <v>0</v>
      </c>
      <c r="AX28" s="170" t="str">
        <f>IF('【様式2】職員名簿 '!K64="エラー","-",IF(AND('【様式2】職員名簿 '!C64=$AX$3,'【様式2】職員名簿 '!K64=$AX$4),$AX$3,'【様式2】職員名簿 '!K64))</f>
        <v>-</v>
      </c>
      <c r="AY28" s="783">
        <f>IF($AW28="常勤",$AN$2,IF($AW28="非常勤",'【様式2】職員名簿 '!H64,0))</f>
        <v>0</v>
      </c>
      <c r="AZ28" s="406">
        <f>IF($AX28=AZ$3,COUNTIF($AX$8:$AX28,AZ$3),0)</f>
        <v>0</v>
      </c>
      <c r="BA28" s="788" t="str">
        <f t="shared" si="2"/>
        <v/>
      </c>
      <c r="BB28" s="247">
        <f>IF(OR($AX28=BB$3,$AX28=BB$4),COUNTIF($AX$8:$AX28,BB$3)+COUNTIF($AX$8:$AX28,BB$4),0)</f>
        <v>0</v>
      </c>
      <c r="BC28" s="788" t="str">
        <f t="shared" si="3"/>
        <v/>
      </c>
      <c r="BD28" s="407">
        <f>IF(OR($AX28=$BD$4,$AX28=BD$3),COUNTIFS($AX$8:$AX28,BD$3,$AW$8:$AW28,BD$5)+COUNTIFS($AX$8:$AX28,BD$4,$AW$8:$AW28,BD$5),0)</f>
        <v>0</v>
      </c>
      <c r="BE28" s="788" t="str">
        <f t="shared" si="4"/>
        <v/>
      </c>
      <c r="BF28" s="248">
        <f>IF($AX28=BF$3,COUNTIF($AX$8:$AX28,BF$3),0)</f>
        <v>0</v>
      </c>
      <c r="BG28" s="788" t="str">
        <f t="shared" si="5"/>
        <v/>
      </c>
      <c r="BH28" s="247">
        <f>IF(OR($AX28=BH$3,$AX28=BH$4),COUNTIF($AX$8:$AX28,BH$3)+COUNTIF($AX$8:$AX28,BH$4),0)</f>
        <v>0</v>
      </c>
      <c r="BI28" s="788" t="str">
        <f t="shared" si="6"/>
        <v/>
      </c>
      <c r="BJ28" s="247">
        <f>IF($AX28=BJ$4,COUNTIFS($AW$8:$AW28,BJ$3,$AX$8:$AX28,BJ$4),0)</f>
        <v>0</v>
      </c>
      <c r="BK28" s="788" t="str">
        <f t="shared" si="7"/>
        <v/>
      </c>
      <c r="BL28" s="247">
        <f>IF($AX28=BL$3,COUNTIF($AX$8:$AX28,BL$3),0)</f>
        <v>0</v>
      </c>
      <c r="BM28" s="788" t="str">
        <f t="shared" si="8"/>
        <v/>
      </c>
      <c r="BN28" s="247">
        <f>IF($AX28=BN$3,COUNTIF($AX$8:$AX28,BN$3),0)</f>
        <v>0</v>
      </c>
      <c r="BO28" s="788" t="str">
        <f t="shared" si="9"/>
        <v/>
      </c>
      <c r="BP28" s="247">
        <f>IF($AX28&lt;&gt;BP$3,COUNTIF($AX$8:$AX28,"&lt;&gt;"&amp;BP$3),0)</f>
        <v>0</v>
      </c>
      <c r="BQ28" s="788" t="str">
        <f t="shared" si="10"/>
        <v/>
      </c>
      <c r="BR28" s="247">
        <f>IF($AX28=BR$3,COUNTIF($AX$8:$AX28,BR$3),0)</f>
        <v>0</v>
      </c>
      <c r="BS28" s="788" t="str">
        <f t="shared" si="11"/>
        <v/>
      </c>
      <c r="BT28" s="312"/>
      <c r="BU28" s="312"/>
    </row>
    <row r="29" spans="1:73" ht="15" customHeight="1" thickBot="1">
      <c r="A29" s="2916" t="s">
        <v>160</v>
      </c>
      <c r="B29" s="2918" t="s">
        <v>817</v>
      </c>
      <c r="C29" s="2919"/>
      <c r="D29" s="2786" t="s">
        <v>779</v>
      </c>
      <c r="E29" s="2787"/>
      <c r="F29" s="2803" t="s">
        <v>1216</v>
      </c>
      <c r="G29" s="2804"/>
      <c r="H29" s="2804"/>
      <c r="I29" s="2804"/>
      <c r="J29" s="2804"/>
      <c r="K29" s="2945"/>
      <c r="L29" s="2899" t="s">
        <v>818</v>
      </c>
      <c r="M29" s="2900"/>
      <c r="N29" s="2894" t="s">
        <v>819</v>
      </c>
      <c r="O29" s="2896"/>
      <c r="P29" s="136"/>
      <c r="Q29" s="2878"/>
      <c r="R29" s="2879"/>
      <c r="S29" s="2968"/>
      <c r="T29" s="2962"/>
      <c r="U29" s="2881"/>
      <c r="V29" s="2963" t="s">
        <v>821</v>
      </c>
      <c r="W29" s="2907" t="s">
        <v>370</v>
      </c>
      <c r="X29" s="2965" t="s">
        <v>822</v>
      </c>
      <c r="Y29" s="2970" t="s">
        <v>823</v>
      </c>
      <c r="Z29" s="2971"/>
      <c r="AA29" s="2972"/>
      <c r="AB29" s="2972"/>
      <c r="AC29" s="2972"/>
      <c r="AD29" s="2972"/>
      <c r="AE29" s="2907" t="s">
        <v>293</v>
      </c>
      <c r="AF29" s="2874" t="s">
        <v>91</v>
      </c>
      <c r="AG29" s="2878"/>
      <c r="AH29" s="2957"/>
      <c r="AI29" s="2887" t="s">
        <v>824</v>
      </c>
      <c r="AJ29" s="2885" t="s">
        <v>94</v>
      </c>
      <c r="AK29" s="2952" t="s">
        <v>813</v>
      </c>
      <c r="AU29" s="247">
        <f t="shared" si="1"/>
        <v>22</v>
      </c>
      <c r="AV29" s="170" t="str">
        <f>AU29&amp;" "&amp;IF(AX29&lt;&gt;"-",'【様式2】職員名簿 '!B65&amp;"/"&amp;AW29&amp;"/"&amp;AX29,"")</f>
        <v xml:space="preserve">22 </v>
      </c>
      <c r="AW29" s="170">
        <f>'【様式2】職員名簿 '!F65</f>
        <v>0</v>
      </c>
      <c r="AX29" s="170" t="str">
        <f>IF('【様式2】職員名簿 '!K65="エラー","-",IF(AND('【様式2】職員名簿 '!C65=$AX$3,'【様式2】職員名簿 '!K65=$AX$4),$AX$3,'【様式2】職員名簿 '!K65))</f>
        <v>-</v>
      </c>
      <c r="AY29" s="783">
        <f>IF($AW29="常勤",$AN$2,IF($AW29="非常勤",'【様式2】職員名簿 '!H65,0))</f>
        <v>0</v>
      </c>
      <c r="AZ29" s="406">
        <f>IF($AX29=AZ$3,COUNTIF($AX$8:$AX29,AZ$3),0)</f>
        <v>0</v>
      </c>
      <c r="BA29" s="788" t="str">
        <f t="shared" si="2"/>
        <v/>
      </c>
      <c r="BB29" s="247">
        <f>IF(OR($AX29=BB$3,$AX29=BB$4),COUNTIF($AX$8:$AX29,BB$3)+COUNTIF($AX$8:$AX29,BB$4),0)</f>
        <v>0</v>
      </c>
      <c r="BC29" s="788" t="str">
        <f t="shared" si="3"/>
        <v/>
      </c>
      <c r="BD29" s="407">
        <f>IF(OR($AX29=$BD$4,$AX29=BD$3),COUNTIFS($AX$8:$AX29,BD$3,$AW$8:$AW29,BD$5)+COUNTIFS($AX$8:$AX29,BD$4,$AW$8:$AW29,BD$5),0)</f>
        <v>0</v>
      </c>
      <c r="BE29" s="788" t="str">
        <f t="shared" si="4"/>
        <v/>
      </c>
      <c r="BF29" s="248">
        <f>IF($AX29=BF$3,COUNTIF($AX$8:$AX29,BF$3),0)</f>
        <v>0</v>
      </c>
      <c r="BG29" s="788" t="str">
        <f t="shared" si="5"/>
        <v/>
      </c>
      <c r="BH29" s="247">
        <f>IF(OR($AX29=BH$3,$AX29=BH$4),COUNTIF($AX$8:$AX29,BH$3)+COUNTIF($AX$8:$AX29,BH$4),0)</f>
        <v>0</v>
      </c>
      <c r="BI29" s="788" t="str">
        <f t="shared" si="6"/>
        <v/>
      </c>
      <c r="BJ29" s="247">
        <f>IF($AX29=BJ$4,COUNTIFS($AW$8:$AW29,BJ$3,$AX$8:$AX29,BJ$4),0)</f>
        <v>0</v>
      </c>
      <c r="BK29" s="788" t="str">
        <f t="shared" si="7"/>
        <v/>
      </c>
      <c r="BL29" s="247">
        <f>IF($AX29=BL$3,COUNTIF($AX$8:$AX29,BL$3),0)</f>
        <v>0</v>
      </c>
      <c r="BM29" s="788" t="str">
        <f t="shared" si="8"/>
        <v/>
      </c>
      <c r="BN29" s="247">
        <f>IF($AX29=BN$3,COUNTIF($AX$8:$AX29,BN$3),0)</f>
        <v>0</v>
      </c>
      <c r="BO29" s="788" t="str">
        <f t="shared" si="9"/>
        <v/>
      </c>
      <c r="BP29" s="247">
        <f>IF($AX29&lt;&gt;BP$3,COUNTIF($AX$8:$AX29,"&lt;&gt;"&amp;BP$3),0)</f>
        <v>0</v>
      </c>
      <c r="BQ29" s="788" t="str">
        <f t="shared" si="10"/>
        <v/>
      </c>
      <c r="BR29" s="247">
        <f>IF($AX29=BR$3,COUNTIF($AX$8:$AX29,BR$3),0)</f>
        <v>0</v>
      </c>
      <c r="BS29" s="788" t="str">
        <f t="shared" si="11"/>
        <v/>
      </c>
      <c r="BT29" s="312"/>
      <c r="BU29" s="312"/>
    </row>
    <row r="30" spans="1:73" ht="15" customHeight="1" thickBot="1">
      <c r="A30" s="2917"/>
      <c r="B30" s="2920"/>
      <c r="C30" s="2921"/>
      <c r="D30" s="2788"/>
      <c r="E30" s="2789"/>
      <c r="F30" s="2790" t="s">
        <v>825</v>
      </c>
      <c r="G30" s="2790"/>
      <c r="H30" s="2790"/>
      <c r="I30" s="522" t="s">
        <v>1217</v>
      </c>
      <c r="J30" s="984" t="s">
        <v>1218</v>
      </c>
      <c r="K30" s="523" t="s">
        <v>1219</v>
      </c>
      <c r="L30" s="885" t="str">
        <f>IF($AM$2,"下限：","")</f>
        <v/>
      </c>
      <c r="M30" s="738" t="str">
        <f>IF($AM$2,IF($AM$3&gt;0,"①"&amp;$AM$3/$AN$2,"")&amp;IF($AM$4&gt;0,"　②"&amp;$AM$4/$AN$2,""),"")</f>
        <v/>
      </c>
      <c r="N30" s="2895"/>
      <c r="O30" s="2897"/>
      <c r="P30" s="136"/>
      <c r="Q30" s="428" t="s">
        <v>245</v>
      </c>
      <c r="R30" s="990" t="s">
        <v>826</v>
      </c>
      <c r="S30" s="2969"/>
      <c r="T30" s="2962"/>
      <c r="U30" s="2882"/>
      <c r="V30" s="2963"/>
      <c r="W30" s="2964"/>
      <c r="X30" s="2966"/>
      <c r="Y30" s="429" t="s">
        <v>94</v>
      </c>
      <c r="Z30" s="430" t="s">
        <v>827</v>
      </c>
      <c r="AA30" s="430" t="s">
        <v>828</v>
      </c>
      <c r="AB30" s="430" t="s">
        <v>829</v>
      </c>
      <c r="AC30" s="430" t="s">
        <v>1060</v>
      </c>
      <c r="AD30" s="431">
        <v>0</v>
      </c>
      <c r="AE30" s="2908"/>
      <c r="AF30" s="2875"/>
      <c r="AG30" s="428" t="s">
        <v>103</v>
      </c>
      <c r="AH30" s="432" t="s">
        <v>830</v>
      </c>
      <c r="AI30" s="2888"/>
      <c r="AJ30" s="2886"/>
      <c r="AK30" s="2953"/>
      <c r="AU30" s="247">
        <f t="shared" si="1"/>
        <v>23</v>
      </c>
      <c r="AV30" s="170" t="str">
        <f>AU30&amp;" "&amp;IF(AX30&lt;&gt;"-",'【様式2】職員名簿 '!B66&amp;"/"&amp;AW30&amp;"/"&amp;AX30,"")</f>
        <v xml:space="preserve">23 </v>
      </c>
      <c r="AW30" s="170">
        <f>'【様式2】職員名簿 '!F66</f>
        <v>0</v>
      </c>
      <c r="AX30" s="170" t="str">
        <f>IF('【様式2】職員名簿 '!K66="エラー","-",IF(AND('【様式2】職員名簿 '!C66=$AX$3,'【様式2】職員名簿 '!K66=$AX$4),$AX$3,'【様式2】職員名簿 '!K66))</f>
        <v>-</v>
      </c>
      <c r="AY30" s="783">
        <f>IF($AW30="常勤",$AN$2,IF($AW30="非常勤",'【様式2】職員名簿 '!H66,0))</f>
        <v>0</v>
      </c>
      <c r="AZ30" s="406">
        <f>IF($AX30=AZ$3,COUNTIF($AX$8:$AX30,AZ$3),0)</f>
        <v>0</v>
      </c>
      <c r="BA30" s="788" t="str">
        <f t="shared" si="2"/>
        <v/>
      </c>
      <c r="BB30" s="247">
        <f>IF(OR($AX30=BB$3,$AX30=BB$4),COUNTIF($AX$8:$AX30,BB$3)+COUNTIF($AX$8:$AX30,BB$4),0)</f>
        <v>0</v>
      </c>
      <c r="BC30" s="788" t="str">
        <f t="shared" si="3"/>
        <v/>
      </c>
      <c r="BD30" s="407">
        <f>IF(OR($AX30=$BD$4,$AX30=BD$3),COUNTIFS($AX$8:$AX30,BD$3,$AW$8:$AW30,BD$5)+COUNTIFS($AX$8:$AX30,BD$4,$AW$8:$AW30,BD$5),0)</f>
        <v>0</v>
      </c>
      <c r="BE30" s="788" t="str">
        <f t="shared" si="4"/>
        <v/>
      </c>
      <c r="BF30" s="248">
        <f>IF($AX30=BF$3,COUNTIF($AX$8:$AX30,BF$3),0)</f>
        <v>0</v>
      </c>
      <c r="BG30" s="788" t="str">
        <f t="shared" si="5"/>
        <v/>
      </c>
      <c r="BH30" s="247">
        <f>IF(OR($AX30=BH$3,$AX30=BH$4),COUNTIF($AX$8:$AX30,BH$3)+COUNTIF($AX$8:$AX30,BH$4),0)</f>
        <v>0</v>
      </c>
      <c r="BI30" s="788" t="str">
        <f t="shared" si="6"/>
        <v/>
      </c>
      <c r="BJ30" s="247">
        <f>IF($AX30=BJ$4,COUNTIFS($AW$8:$AW30,BJ$3,$AX$8:$AX30,BJ$4),0)</f>
        <v>0</v>
      </c>
      <c r="BK30" s="788" t="str">
        <f t="shared" si="7"/>
        <v/>
      </c>
      <c r="BL30" s="247">
        <f>IF($AX30=BL$3,COUNTIF($AX$8:$AX30,BL$3),0)</f>
        <v>0</v>
      </c>
      <c r="BM30" s="788" t="str">
        <f t="shared" si="8"/>
        <v/>
      </c>
      <c r="BN30" s="247">
        <f>IF($AX30=BN$3,COUNTIF($AX$8:$AX30,BN$3),0)</f>
        <v>0</v>
      </c>
      <c r="BO30" s="788" t="str">
        <f t="shared" si="9"/>
        <v/>
      </c>
      <c r="BP30" s="247">
        <f>IF($AX30&lt;&gt;BP$3,COUNTIF($AX$8:$AX30,"&lt;&gt;"&amp;BP$3),0)</f>
        <v>0</v>
      </c>
      <c r="BQ30" s="788" t="str">
        <f t="shared" si="10"/>
        <v/>
      </c>
      <c r="BR30" s="247">
        <f>IF($AX30=BR$3,COUNTIF($AX$8:$AX30,BR$3),0)</f>
        <v>0</v>
      </c>
      <c r="BS30" s="788" t="str">
        <f t="shared" si="11"/>
        <v/>
      </c>
      <c r="BT30" s="312"/>
      <c r="BU30" s="312"/>
    </row>
    <row r="31" spans="1:73" ht="15" customHeight="1" thickTop="1">
      <c r="A31" s="2655" t="s">
        <v>831</v>
      </c>
      <c r="B31" s="2938" t="s">
        <v>1243</v>
      </c>
      <c r="C31" s="2939"/>
      <c r="D31" s="2940" t="str">
        <f>IF(W31,T31,"")</f>
        <v>施設長</v>
      </c>
      <c r="E31" s="2941"/>
      <c r="F31" s="2898"/>
      <c r="G31" s="2898"/>
      <c r="H31" s="2898"/>
      <c r="I31" s="886" t="str">
        <f>IF(OR(NOT(W31),U31=0),"","【"&amp;U31&amp;"h】")</f>
        <v/>
      </c>
      <c r="J31" s="902" t="str">
        <f>IF(OR(F31=0,F31=""),"",IF(W31,IF(X31,IF(OR(Y31,V31=3),IF(AE31,IF(OR(AF31,V31=2,V31=3),"○","要常勤"),"時間無"),"重複"),"名簿無"),"対象外"))</f>
        <v/>
      </c>
      <c r="K31" s="904" t="s">
        <v>750</v>
      </c>
      <c r="L31" s="433" t="str">
        <f>IF(AJ31=1,"調整①→",IF(AJ31=5,"調整②→",IF(AJ31=2,"",IF(AJ31=3,"全計上→","エラー"))))</f>
        <v/>
      </c>
      <c r="M31" s="434">
        <f>IF(OR(AND(J31&lt;&gt;"",J31&lt;&gt;"○"),AJ31=4),"×",IF(J31="",0,AK31/$AN$2))</f>
        <v>0</v>
      </c>
      <c r="N31" s="435" t="str">
        <f>IF(Q31,"○","×")</f>
        <v>○</v>
      </c>
      <c r="O31" s="726" t="str">
        <f>IF(Q31,IF(S31,"○","×"),"-")</f>
        <v>×</v>
      </c>
      <c r="P31" s="436"/>
      <c r="Q31" s="437" t="b">
        <f>TRUE()</f>
        <v>1</v>
      </c>
      <c r="R31" s="438" t="s">
        <v>1242</v>
      </c>
      <c r="S31" s="437" t="b">
        <f>AND(M31&gt;0,O165&gt;=0)</f>
        <v>0</v>
      </c>
      <c r="T31" s="437" t="str">
        <f>$BA$6</f>
        <v>施設長</v>
      </c>
      <c r="U31" s="988">
        <f>IFERROR(VLOOKUP($F31,$AV$8:$AY$108,4,FALSE),0)</f>
        <v>0</v>
      </c>
      <c r="V31" s="437">
        <v>2</v>
      </c>
      <c r="W31" s="437" t="b">
        <f>Q31</f>
        <v>1</v>
      </c>
      <c r="X31" s="439" t="b">
        <f t="shared" ref="X31" ca="1" si="21">COUNTIF(INDIRECT(T31),F31)&gt;0</f>
        <v>0</v>
      </c>
      <c r="Y31" s="440" t="b">
        <f>COUNTIF($AD$30:AD30,AD31)+COUNTIF(AD32:$AD$147,AD31)-COUNTIF(Z31:AC31,AD31)=0</f>
        <v>0</v>
      </c>
      <c r="Z31" s="437" t="s">
        <v>832</v>
      </c>
      <c r="AA31" s="437" t="s">
        <v>750</v>
      </c>
      <c r="AB31" s="437" t="s">
        <v>750</v>
      </c>
      <c r="AC31" s="437" t="s">
        <v>750</v>
      </c>
      <c r="AD31" s="972">
        <f>IF(V31=3,0,IFERROR(INDEX($AU$8:$AU$108,MATCH($F31,AV$8:AV$108,0),1),0))</f>
        <v>0</v>
      </c>
      <c r="AE31" s="439" t="b">
        <f>U31&gt;0</f>
        <v>0</v>
      </c>
      <c r="AF31" s="440" t="b">
        <f>IFERROR(VLOOKUP($F31,$AV$8:$AY$108,2,FALSE),"")="常勤"</f>
        <v>0</v>
      </c>
      <c r="AG31" s="437" t="s">
        <v>750</v>
      </c>
      <c r="AH31" s="437" t="s">
        <v>804</v>
      </c>
      <c r="AI31" s="437">
        <v>2</v>
      </c>
      <c r="AJ31" s="238">
        <f>IF(AND($W31,$J31="○"),IF($K31="-",IF($U31&lt;IF($AI31=5,$AM$4,$AM$3),$AI31,2),IF($K31=0,IF($U31&lt;IF($AI31=5,$AM$4,$AM$3),IF(OR($AI31=1,$AI31=5),$AI31,3),3),IF(K31&lt;IF($AI31=5,$AM$4,$AM$3),$AI31,IF($K31&gt;$U31,4,2)))),2)</f>
        <v>2</v>
      </c>
      <c r="AK31" s="240">
        <f t="shared" ref="AK31" si="22">IF(AJ31=1,$AM$3,IF(AJ31=5,$AM$4,IF(AJ31=2,IF(K31="-",U31,K31),IF(AJ31=3,U31,"×"))))</f>
        <v>0</v>
      </c>
      <c r="AU31" s="247">
        <f t="shared" si="1"/>
        <v>24</v>
      </c>
      <c r="AV31" s="170" t="str">
        <f>AU31&amp;" "&amp;IF(AX31&lt;&gt;"-",'【様式2】職員名簿 '!B67&amp;"/"&amp;AW31&amp;"/"&amp;AX31,"")</f>
        <v xml:space="preserve">24 </v>
      </c>
      <c r="AW31" s="170">
        <f>'【様式2】職員名簿 '!F67</f>
        <v>0</v>
      </c>
      <c r="AX31" s="170" t="str">
        <f>IF('【様式2】職員名簿 '!K67="エラー","-",IF(AND('【様式2】職員名簿 '!C67=$AX$3,'【様式2】職員名簿 '!K67=$AX$4),$AX$3,'【様式2】職員名簿 '!K67))</f>
        <v>-</v>
      </c>
      <c r="AY31" s="783">
        <f>IF($AW31="常勤",$AN$2,IF($AW31="非常勤",'【様式2】職員名簿 '!H67,0))</f>
        <v>0</v>
      </c>
      <c r="AZ31" s="406">
        <f>IF($AX31=AZ$3,COUNTIF($AX$8:$AX31,AZ$3),0)</f>
        <v>0</v>
      </c>
      <c r="BA31" s="788" t="str">
        <f t="shared" si="2"/>
        <v/>
      </c>
      <c r="BB31" s="247">
        <f>IF(OR($AX31=BB$3,$AX31=BB$4),COUNTIF($AX$8:$AX31,BB$3)+COUNTIF($AX$8:$AX31,BB$4),0)</f>
        <v>0</v>
      </c>
      <c r="BC31" s="788" t="str">
        <f t="shared" si="3"/>
        <v/>
      </c>
      <c r="BD31" s="407">
        <f>IF(OR($AX31=$BD$4,$AX31=BD$3),COUNTIFS($AX$8:$AX31,BD$3,$AW$8:$AW31,BD$5)+COUNTIFS($AX$8:$AX31,BD$4,$AW$8:$AW31,BD$5),0)</f>
        <v>0</v>
      </c>
      <c r="BE31" s="788" t="str">
        <f t="shared" si="4"/>
        <v/>
      </c>
      <c r="BF31" s="248">
        <f>IF($AX31=BF$3,COUNTIF($AX$8:$AX31,BF$3),0)</f>
        <v>0</v>
      </c>
      <c r="BG31" s="788" t="str">
        <f t="shared" si="5"/>
        <v/>
      </c>
      <c r="BH31" s="247">
        <f>IF(OR($AX31=BH$3,$AX31=BH$4),COUNTIF($AX$8:$AX31,BH$3)+COUNTIF($AX$8:$AX31,BH$4),0)</f>
        <v>0</v>
      </c>
      <c r="BI31" s="788" t="str">
        <f t="shared" si="6"/>
        <v/>
      </c>
      <c r="BJ31" s="247">
        <f>IF($AX31=BJ$4,COUNTIFS($AW$8:$AW31,BJ$3,$AX$8:$AX31,BJ$4),0)</f>
        <v>0</v>
      </c>
      <c r="BK31" s="788" t="str">
        <f t="shared" si="7"/>
        <v/>
      </c>
      <c r="BL31" s="247">
        <f>IF($AX31=BL$3,COUNTIF($AX$8:$AX31,BL$3),0)</f>
        <v>0</v>
      </c>
      <c r="BM31" s="788" t="str">
        <f t="shared" si="8"/>
        <v/>
      </c>
      <c r="BN31" s="247">
        <f>IF($AX31=BN$3,COUNTIF($AX$8:$AX31,BN$3),0)</f>
        <v>0</v>
      </c>
      <c r="BO31" s="788" t="str">
        <f t="shared" si="9"/>
        <v/>
      </c>
      <c r="BP31" s="247">
        <f>IF($AX31&lt;&gt;BP$3,COUNTIF($AX$8:$AX31,"&lt;&gt;"&amp;BP$3),0)</f>
        <v>0</v>
      </c>
      <c r="BQ31" s="788" t="str">
        <f t="shared" si="10"/>
        <v/>
      </c>
      <c r="BR31" s="247">
        <f>IF($AX31=BR$3,COUNTIF($AX$8:$AX31,BR$3),0)</f>
        <v>0</v>
      </c>
      <c r="BS31" s="788" t="str">
        <f t="shared" si="11"/>
        <v/>
      </c>
      <c r="BT31" s="312"/>
      <c r="BU31" s="312"/>
    </row>
    <row r="32" spans="1:73" ht="15" customHeight="1">
      <c r="A32" s="2656"/>
      <c r="B32" s="2936" t="s">
        <v>833</v>
      </c>
      <c r="C32" s="2937"/>
      <c r="D32" s="2856" t="str">
        <f t="shared" ref="D32:D38" si="23">IF(W32,T32,"")</f>
        <v/>
      </c>
      <c r="E32" s="2857"/>
      <c r="F32" s="2901" t="str">
        <f>IF(Q32,"利用定員90人以下については１人（分園がある場合は各１人）","")</f>
        <v/>
      </c>
      <c r="G32" s="2902"/>
      <c r="H32" s="2902"/>
      <c r="I32" s="2902"/>
      <c r="J32" s="2902"/>
      <c r="K32" s="2903"/>
      <c r="L32" s="442" t="s">
        <v>750</v>
      </c>
      <c r="M32" s="443" t="s">
        <v>750</v>
      </c>
      <c r="N32" s="444" t="str">
        <f>IF(Q32,"○","×")</f>
        <v>×</v>
      </c>
      <c r="O32" s="727" t="str">
        <f t="shared" ref="O32:O33" si="24">IF(Q32,IF(S32,"○","×"),"-")</f>
        <v>-</v>
      </c>
      <c r="P32" s="436"/>
      <c r="Q32" s="975" t="b">
        <f>R32&gt;=1</f>
        <v>0</v>
      </c>
      <c r="R32" s="445">
        <f>SUM(N(AND(B17&gt;0,B17&lt;=90)),N(AND(B24&gt;0,B24&lt;=90)))</f>
        <v>0</v>
      </c>
      <c r="S32" s="445" t="b">
        <f>$O$167&gt;=0</f>
        <v>0</v>
      </c>
      <c r="T32" s="446" t="str">
        <f>$BC$6</f>
        <v>保育教諭</v>
      </c>
      <c r="U32" s="407" t="s">
        <v>804</v>
      </c>
      <c r="V32" s="446" t="s">
        <v>804</v>
      </c>
      <c r="W32" s="446" t="b">
        <f>Q32</f>
        <v>0</v>
      </c>
      <c r="X32" s="439" t="s">
        <v>804</v>
      </c>
      <c r="Y32" s="440" t="s">
        <v>804</v>
      </c>
      <c r="Z32" s="976" t="s">
        <v>804</v>
      </c>
      <c r="AA32" s="976" t="s">
        <v>804</v>
      </c>
      <c r="AB32" s="976" t="s">
        <v>804</v>
      </c>
      <c r="AC32" s="976" t="s">
        <v>804</v>
      </c>
      <c r="AD32" s="972" t="s">
        <v>750</v>
      </c>
      <c r="AE32" s="248" t="s">
        <v>804</v>
      </c>
      <c r="AF32" s="783" t="s">
        <v>804</v>
      </c>
      <c r="AG32" s="446" t="s">
        <v>804</v>
      </c>
      <c r="AH32" s="446" t="s">
        <v>804</v>
      </c>
      <c r="AI32" s="446" t="s">
        <v>804</v>
      </c>
      <c r="AJ32" s="248" t="s">
        <v>804</v>
      </c>
      <c r="AK32" s="249" t="s">
        <v>804</v>
      </c>
      <c r="AU32" s="247">
        <f t="shared" si="1"/>
        <v>25</v>
      </c>
      <c r="AV32" s="170" t="str">
        <f>AU32&amp;" "&amp;IF(AX32&lt;&gt;"-",'【様式2】職員名簿 '!B68&amp;"/"&amp;AW32&amp;"/"&amp;AX32,"")</f>
        <v xml:space="preserve">25 </v>
      </c>
      <c r="AW32" s="170">
        <f>'【様式2】職員名簿 '!F68</f>
        <v>0</v>
      </c>
      <c r="AX32" s="170" t="str">
        <f>IF('【様式2】職員名簿 '!K68="エラー","-",IF(AND('【様式2】職員名簿 '!C68=$AX$3,'【様式2】職員名簿 '!K68=$AX$4),$AX$3,'【様式2】職員名簿 '!K68))</f>
        <v>-</v>
      </c>
      <c r="AY32" s="783">
        <f>IF($AW32="常勤",$AN$2,IF($AW32="非常勤",'【様式2】職員名簿 '!H68,0))</f>
        <v>0</v>
      </c>
      <c r="AZ32" s="406">
        <f>IF($AX32=AZ$3,COUNTIF($AX$8:$AX32,AZ$3),0)</f>
        <v>0</v>
      </c>
      <c r="BA32" s="788" t="str">
        <f t="shared" si="2"/>
        <v/>
      </c>
      <c r="BB32" s="247">
        <f>IF(OR($AX32=BB$3,$AX32=BB$4),COUNTIF($AX$8:$AX32,BB$3)+COUNTIF($AX$8:$AX32,BB$4),0)</f>
        <v>0</v>
      </c>
      <c r="BC32" s="788" t="str">
        <f t="shared" si="3"/>
        <v/>
      </c>
      <c r="BD32" s="407">
        <f>IF(OR($AX32=$BD$4,$AX32=BD$3),COUNTIFS($AX$8:$AX32,BD$3,$AW$8:$AW32,BD$5)+COUNTIFS($AX$8:$AX32,BD$4,$AW$8:$AW32,BD$5),0)</f>
        <v>0</v>
      </c>
      <c r="BE32" s="788" t="str">
        <f t="shared" si="4"/>
        <v/>
      </c>
      <c r="BF32" s="248">
        <f>IF($AX32=BF$3,COUNTIF($AX$8:$AX32,BF$3),0)</f>
        <v>0</v>
      </c>
      <c r="BG32" s="788" t="str">
        <f t="shared" si="5"/>
        <v/>
      </c>
      <c r="BH32" s="247">
        <f>IF(OR($AX32=BH$3,$AX32=BH$4),COUNTIF($AX$8:$AX32,BH$3)+COUNTIF($AX$8:$AX32,BH$4),0)</f>
        <v>0</v>
      </c>
      <c r="BI32" s="788" t="str">
        <f t="shared" si="6"/>
        <v/>
      </c>
      <c r="BJ32" s="247">
        <f>IF($AX32=BJ$4,COUNTIFS($AW$8:$AW32,BJ$3,$AX$8:$AX32,BJ$4),0)</f>
        <v>0</v>
      </c>
      <c r="BK32" s="788" t="str">
        <f t="shared" si="7"/>
        <v/>
      </c>
      <c r="BL32" s="247">
        <f>IF($AX32=BL$3,COUNTIF($AX$8:$AX32,BL$3),0)</f>
        <v>0</v>
      </c>
      <c r="BM32" s="788" t="str">
        <f t="shared" si="8"/>
        <v/>
      </c>
      <c r="BN32" s="247">
        <f>IF($AX32=BN$3,COUNTIF($AX$8:$AX32,BN$3),0)</f>
        <v>0</v>
      </c>
      <c r="BO32" s="788" t="str">
        <f t="shared" si="9"/>
        <v/>
      </c>
      <c r="BP32" s="247">
        <f>IF($AX32&lt;&gt;BP$3,COUNTIF($AX$8:$AX32,"&lt;&gt;"&amp;BP$3),0)</f>
        <v>0</v>
      </c>
      <c r="BQ32" s="788" t="str">
        <f t="shared" si="10"/>
        <v/>
      </c>
      <c r="BR32" s="247">
        <f>IF($AX32=BR$3,COUNTIF($AX$8:$AX32,BR$3),0)</f>
        <v>0</v>
      </c>
      <c r="BS32" s="788" t="str">
        <f t="shared" si="11"/>
        <v/>
      </c>
      <c r="BT32" s="312"/>
      <c r="BU32" s="312"/>
    </row>
    <row r="33" spans="1:73" ht="15" customHeight="1">
      <c r="A33" s="2656"/>
      <c r="B33" s="2922" t="s">
        <v>834</v>
      </c>
      <c r="C33" s="2923"/>
      <c r="D33" s="2739" t="str">
        <f t="shared" si="23"/>
        <v/>
      </c>
      <c r="E33" s="2740"/>
      <c r="F33" s="2904" t="str">
        <f>IF(Q33,"保育標準時間児童が利用する場合は１人（分園がある場合は各１人）","")</f>
        <v/>
      </c>
      <c r="G33" s="2905"/>
      <c r="H33" s="2905"/>
      <c r="I33" s="2905"/>
      <c r="J33" s="2905"/>
      <c r="K33" s="2906"/>
      <c r="L33" s="448" t="s">
        <v>804</v>
      </c>
      <c r="M33" s="449" t="s">
        <v>832</v>
      </c>
      <c r="N33" s="450" t="str">
        <f>IF(Q33,"○","×")</f>
        <v>×</v>
      </c>
      <c r="O33" s="728" t="str">
        <f t="shared" si="24"/>
        <v>-</v>
      </c>
      <c r="P33" s="436"/>
      <c r="Q33" s="975" t="b">
        <f>R33&gt;=1</f>
        <v>0</v>
      </c>
      <c r="R33" s="445">
        <f>SUM(N(N13&gt;0),N(N20&gt;0))</f>
        <v>0</v>
      </c>
      <c r="S33" s="445" t="b">
        <f>$O$167&gt;=0</f>
        <v>0</v>
      </c>
      <c r="T33" s="446" t="str">
        <f>$BC$6</f>
        <v>保育教諭</v>
      </c>
      <c r="U33" s="407" t="s">
        <v>804</v>
      </c>
      <c r="V33" s="446" t="s">
        <v>804</v>
      </c>
      <c r="W33" s="446" t="b">
        <f>Q33</f>
        <v>0</v>
      </c>
      <c r="X33" s="439" t="s">
        <v>804</v>
      </c>
      <c r="Y33" s="440" t="s">
        <v>804</v>
      </c>
      <c r="Z33" s="976" t="s">
        <v>804</v>
      </c>
      <c r="AA33" s="976" t="s">
        <v>804</v>
      </c>
      <c r="AB33" s="976" t="s">
        <v>804</v>
      </c>
      <c r="AC33" s="976" t="s">
        <v>804</v>
      </c>
      <c r="AD33" s="972" t="s">
        <v>804</v>
      </c>
      <c r="AE33" s="248" t="s">
        <v>804</v>
      </c>
      <c r="AF33" s="783" t="s">
        <v>804</v>
      </c>
      <c r="AG33" s="446" t="s">
        <v>804</v>
      </c>
      <c r="AH33" s="446" t="s">
        <v>804</v>
      </c>
      <c r="AI33" s="446" t="s">
        <v>804</v>
      </c>
      <c r="AJ33" s="248" t="s">
        <v>804</v>
      </c>
      <c r="AK33" s="249" t="s">
        <v>804</v>
      </c>
      <c r="AP33" s="461"/>
      <c r="AQ33" s="461"/>
      <c r="AR33" s="461"/>
      <c r="AS33" s="461"/>
      <c r="AT33" s="461"/>
      <c r="AU33" s="247">
        <f t="shared" si="1"/>
        <v>26</v>
      </c>
      <c r="AV33" s="170" t="str">
        <f>AU33&amp;" "&amp;IF(AX33&lt;&gt;"-",'【様式2】職員名簿 '!B69&amp;"/"&amp;AW33&amp;"/"&amp;AX33,"")</f>
        <v xml:space="preserve">26 </v>
      </c>
      <c r="AW33" s="170">
        <f>'【様式2】職員名簿 '!F69</f>
        <v>0</v>
      </c>
      <c r="AX33" s="170" t="str">
        <f>IF('【様式2】職員名簿 '!K69="エラー","-",IF(AND('【様式2】職員名簿 '!C69=$AX$3,'【様式2】職員名簿 '!K69=$AX$4),$AX$3,'【様式2】職員名簿 '!K69))</f>
        <v>-</v>
      </c>
      <c r="AY33" s="783">
        <f>IF($AW33="常勤",$AN$2,IF($AW33="非常勤",'【様式2】職員名簿 '!H69,0))</f>
        <v>0</v>
      </c>
      <c r="AZ33" s="406">
        <f>IF($AX33=AZ$3,COUNTIF($AX$8:$AX33,AZ$3),0)</f>
        <v>0</v>
      </c>
      <c r="BA33" s="788" t="str">
        <f t="shared" si="2"/>
        <v/>
      </c>
      <c r="BB33" s="247">
        <f>IF(OR($AX33=BB$3,$AX33=BB$4),COUNTIF($AX$8:$AX33,BB$3)+COUNTIF($AX$8:$AX33,BB$4),0)</f>
        <v>0</v>
      </c>
      <c r="BC33" s="788" t="str">
        <f t="shared" si="3"/>
        <v/>
      </c>
      <c r="BD33" s="407">
        <f>IF(OR($AX33=$BD$4,$AX33=BD$3),COUNTIFS($AX$8:$AX33,BD$3,$AW$8:$AW33,BD$5)+COUNTIFS($AX$8:$AX33,BD$4,$AW$8:$AW33,BD$5),0)</f>
        <v>0</v>
      </c>
      <c r="BE33" s="788" t="str">
        <f t="shared" si="4"/>
        <v/>
      </c>
      <c r="BF33" s="248">
        <f>IF($AX33=BF$3,COUNTIF($AX$8:$AX33,BF$3),0)</f>
        <v>0</v>
      </c>
      <c r="BG33" s="788" t="str">
        <f t="shared" si="5"/>
        <v/>
      </c>
      <c r="BH33" s="247">
        <f>IF(OR($AX33=BH$3,$AX33=BH$4),COUNTIF($AX$8:$AX33,BH$3)+COUNTIF($AX$8:$AX33,BH$4),0)</f>
        <v>0</v>
      </c>
      <c r="BI33" s="788" t="str">
        <f t="shared" si="6"/>
        <v/>
      </c>
      <c r="BJ33" s="247">
        <f>IF($AX33=BJ$4,COUNTIFS($AW$8:$AW33,BJ$3,$AX$8:$AX33,BJ$4),0)</f>
        <v>0</v>
      </c>
      <c r="BK33" s="788" t="str">
        <f t="shared" si="7"/>
        <v/>
      </c>
      <c r="BL33" s="247">
        <f>IF($AX33=BL$3,COUNTIF($AX$8:$AX33,BL$3),0)</f>
        <v>0</v>
      </c>
      <c r="BM33" s="788" t="str">
        <f t="shared" si="8"/>
        <v/>
      </c>
      <c r="BN33" s="247">
        <f>IF($AX33=BN$3,COUNTIF($AX$8:$AX33,BN$3),0)</f>
        <v>0</v>
      </c>
      <c r="BO33" s="788" t="str">
        <f t="shared" si="9"/>
        <v/>
      </c>
      <c r="BP33" s="247">
        <f>IF($AX33&lt;&gt;BP$3,COUNTIF($AX$8:$AX33,"&lt;&gt;"&amp;BP$3),0)</f>
        <v>0</v>
      </c>
      <c r="BQ33" s="788" t="str">
        <f t="shared" si="10"/>
        <v/>
      </c>
      <c r="BR33" s="247">
        <f>IF($AX33=BR$3,COUNTIF($AX$8:$AX33,BR$3),0)</f>
        <v>0</v>
      </c>
      <c r="BS33" s="788" t="str">
        <f t="shared" si="11"/>
        <v/>
      </c>
      <c r="BT33" s="312"/>
      <c r="BU33" s="312"/>
    </row>
    <row r="34" spans="1:73" ht="15" customHeight="1">
      <c r="A34" s="2656"/>
      <c r="B34" s="2909" t="s">
        <v>154</v>
      </c>
      <c r="C34" s="484" t="s">
        <v>967</v>
      </c>
      <c r="D34" s="2731" t="str">
        <f>IF(W34,T34,"")</f>
        <v/>
      </c>
      <c r="E34" s="2743"/>
      <c r="F34" s="2911"/>
      <c r="G34" s="2911"/>
      <c r="H34" s="2912"/>
      <c r="I34" s="887" t="str">
        <f>IF(OR(NOT(W34),U34=0),"","【"&amp;U34&amp;"h】")</f>
        <v/>
      </c>
      <c r="J34" s="485" t="str">
        <f>IF(OR(F34=0,F34=""),"",IF(AND(R34=2,COUNTBLANK($F$34:$F$37)=0),"教・保いずれか１つ",IF(W34,IF(X34,IF(OR(Y34,V34=3),IF(AE34,IF(OR(AF34,V34=2,V34=3),"○","要常勤"),"時間無"),"重複"),"名簿無"),"対象外")))</f>
        <v/>
      </c>
      <c r="K34" s="992" t="s">
        <v>960</v>
      </c>
      <c r="L34" s="793" t="str">
        <f>IF(AJ34=1,"調整①→",IF(AJ34=5,"調整②→",IF(AJ34=2,"",IF(AJ34=3,"全計上→","エラー"))))</f>
        <v/>
      </c>
      <c r="M34" s="794">
        <f t="shared" ref="M34:M37" si="25">IF(OR(AND(J34&lt;&gt;"",J34&lt;&gt;"○"),AJ34=4),"×",IF(J34="",0,AK34/$AN$2))</f>
        <v>0</v>
      </c>
      <c r="N34" s="2760" t="str">
        <f>IF(R34=1,"○",IF(R34=2,"△","×"))</f>
        <v>×</v>
      </c>
      <c r="O34" s="2892" t="str">
        <f>IF(AND(Q34,OR(R34=1,AND(R34=2,NOT(Q36)))),"○","×")</f>
        <v>×</v>
      </c>
      <c r="P34" s="436"/>
      <c r="Q34" s="2748" t="b">
        <f>AND($J34="○",$J35="○")</f>
        <v>0</v>
      </c>
      <c r="R34" s="2748">
        <f>IF(I154-SUM(L167:L176)&gt;=1+MAX(I179,0.5),1,IF(I154-SUM(L167:L176)&gt;=1,2,IF(I154-SUM(L167:L176)&gt;=MAX(I179,0.5),3,4)))</f>
        <v>4</v>
      </c>
      <c r="S34" s="2748" t="b">
        <f>IF(R34=1,"true",IF(AND(R34=2,O36&lt;&gt;"○"),TRUE,FALSE))</f>
        <v>0</v>
      </c>
      <c r="T34" s="446" t="str">
        <f>BC6</f>
        <v>保育教諭</v>
      </c>
      <c r="U34" s="407">
        <f>IFERROR(VLOOKUP($F34,$AV$8:$AY$108,4,FALSE),0)</f>
        <v>0</v>
      </c>
      <c r="V34" s="446">
        <v>1</v>
      </c>
      <c r="W34" s="446" t="b">
        <f>OR(R34=1,R34=2)</f>
        <v>0</v>
      </c>
      <c r="X34" s="439" t="b">
        <f ca="1">COUNTIF(INDIRECT(T34),F34)&gt;0</f>
        <v>0</v>
      </c>
      <c r="Y34" s="440" t="b">
        <f>COUNTIF($AD$30:AD33,AD34)+COUNTIF(AD35:$AD$147,AD34)-COUNTIF(Z34:AC34,AD34)=0</f>
        <v>0</v>
      </c>
      <c r="Z34" s="976">
        <f>AD48</f>
        <v>0</v>
      </c>
      <c r="AA34" s="976">
        <f>AD49</f>
        <v>0</v>
      </c>
      <c r="AB34" s="976">
        <f>AD52</f>
        <v>0</v>
      </c>
      <c r="AC34" s="976" t="s">
        <v>804</v>
      </c>
      <c r="AD34" s="972">
        <f>IF(V34=3,0,IFERROR(INDEX($AU$8:$AU$108,MATCH($F34,AV$8:AV$108,0),1),0))</f>
        <v>0</v>
      </c>
      <c r="AE34" s="248" t="b">
        <f>U34&gt;0</f>
        <v>0</v>
      </c>
      <c r="AF34" s="783" t="b">
        <f>IFERROR(VLOOKUP($F34,$AV$8:$AY$108,2,FALSE),"")="常勤"</f>
        <v>0</v>
      </c>
      <c r="AG34" s="446" t="s">
        <v>804</v>
      </c>
      <c r="AH34" s="446" t="s">
        <v>804</v>
      </c>
      <c r="AI34" s="446">
        <v>1</v>
      </c>
      <c r="AJ34" s="248">
        <f>IF(AND($W34,$J34="○"),IF($K34="-",IF($U34&lt;IF($AI34=5,$AM$4,$AM$3),$AI34,2),IF($K34=0,IF($U34&lt;IF($AI34=5,$AM$4,$AM$3),IF(OR($AI34=1,$AI34=5),$AI34,3),3),IF(K34&lt;IF($AI34=5,$AM$4,$AM$3),$AI34,IF($K34&gt;$U34,4,2)))),2)</f>
        <v>2</v>
      </c>
      <c r="AK34" s="249">
        <f t="shared" ref="AK34:AK37" si="26">IF(AJ34=1,$AM$3,IF(AJ34=5,$AM$4,IF(AJ34=2,IF(K34="-",U34,K34),IF(AJ34=3,U34,"×"))))</f>
        <v>0</v>
      </c>
      <c r="AP34" s="461"/>
      <c r="AQ34" s="461"/>
      <c r="AT34" s="461"/>
      <c r="AU34" s="247">
        <f t="shared" si="1"/>
        <v>27</v>
      </c>
      <c r="AV34" s="170" t="str">
        <f>AU34&amp;" "&amp;IF(AX34&lt;&gt;"-",'【様式2】職員名簿 '!B70&amp;"/"&amp;AW34&amp;"/"&amp;AX34,"")</f>
        <v xml:space="preserve">27 </v>
      </c>
      <c r="AW34" s="170">
        <f>'【様式2】職員名簿 '!F70</f>
        <v>0</v>
      </c>
      <c r="AX34" s="170" t="str">
        <f>IF('【様式2】職員名簿 '!K70="エラー","-",IF(AND('【様式2】職員名簿 '!C70=$AX$3,'【様式2】職員名簿 '!K70=$AX$4),$AX$3,'【様式2】職員名簿 '!K70))</f>
        <v>-</v>
      </c>
      <c r="AY34" s="783">
        <f>IF($AW34="常勤",$AN$2,IF($AW34="非常勤",'【様式2】職員名簿 '!H70,0))</f>
        <v>0</v>
      </c>
      <c r="AZ34" s="406">
        <f>IF($AX34=AZ$3,COUNTIF($AX$8:$AX34,AZ$3),0)</f>
        <v>0</v>
      </c>
      <c r="BA34" s="788" t="str">
        <f t="shared" si="2"/>
        <v/>
      </c>
      <c r="BB34" s="247">
        <f>IF(OR($AX34=BB$3,$AX34=BB$4),COUNTIF($AX$8:$AX34,BB$3)+COUNTIF($AX$8:$AX34,BB$4),0)</f>
        <v>0</v>
      </c>
      <c r="BC34" s="788" t="str">
        <f t="shared" si="3"/>
        <v/>
      </c>
      <c r="BD34" s="407">
        <f>IF(OR($AX34=$BD$4,$AX34=BD$3),COUNTIFS($AX$8:$AX34,BD$3,$AW$8:$AW34,BD$5)+COUNTIFS($AX$8:$AX34,BD$4,$AW$8:$AW34,BD$5),0)</f>
        <v>0</v>
      </c>
      <c r="BE34" s="788" t="str">
        <f t="shared" si="4"/>
        <v/>
      </c>
      <c r="BF34" s="248">
        <f>IF($AX34=BF$3,COUNTIF($AX$8:$AX34,BF$3),0)</f>
        <v>0</v>
      </c>
      <c r="BG34" s="788" t="str">
        <f t="shared" si="5"/>
        <v/>
      </c>
      <c r="BH34" s="247">
        <f>IF(OR($AX34=BH$3,$AX34=BH$4),COUNTIF($AX$8:$AX34,BH$3)+COUNTIF($AX$8:$AX34,BH$4),0)</f>
        <v>0</v>
      </c>
      <c r="BI34" s="788" t="str">
        <f t="shared" si="6"/>
        <v/>
      </c>
      <c r="BJ34" s="247">
        <f>IF($AX34=BJ$4,COUNTIFS($AW$8:$AW34,BJ$3,$AX$8:$AX34,BJ$4),0)</f>
        <v>0</v>
      </c>
      <c r="BK34" s="788" t="str">
        <f t="shared" si="7"/>
        <v/>
      </c>
      <c r="BL34" s="247">
        <f>IF($AX34=BL$3,COUNTIF($AX$8:$AX34,BL$3),0)</f>
        <v>0</v>
      </c>
      <c r="BM34" s="788" t="str">
        <f t="shared" si="8"/>
        <v/>
      </c>
      <c r="BN34" s="247">
        <f>IF($AX34=BN$3,COUNTIF($AX$8:$AX34,BN$3),0)</f>
        <v>0</v>
      </c>
      <c r="BO34" s="788" t="str">
        <f t="shared" si="9"/>
        <v/>
      </c>
      <c r="BP34" s="247">
        <f>IF($AX34&lt;&gt;BP$3,COUNTIF($AX$8:$AX34,"&lt;&gt;"&amp;BP$3),0)</f>
        <v>0</v>
      </c>
      <c r="BQ34" s="788" t="str">
        <f t="shared" si="10"/>
        <v/>
      </c>
      <c r="BR34" s="247">
        <f>IF($AX34=BR$3,COUNTIF($AX$8:$AX34,BR$3),0)</f>
        <v>0</v>
      </c>
      <c r="BS34" s="788" t="str">
        <f t="shared" si="11"/>
        <v/>
      </c>
      <c r="BT34" s="312"/>
      <c r="BU34" s="312"/>
    </row>
    <row r="35" spans="1:73" ht="15" customHeight="1">
      <c r="A35" s="2656"/>
      <c r="B35" s="2910"/>
      <c r="C35" s="978" t="s">
        <v>968</v>
      </c>
      <c r="D35" s="2791" t="str">
        <f t="shared" ref="D35:D37" si="27">IF(W35,T35,"")</f>
        <v/>
      </c>
      <c r="E35" s="2792"/>
      <c r="F35" s="2913"/>
      <c r="G35" s="2913"/>
      <c r="H35" s="2754"/>
      <c r="I35" s="889" t="str">
        <f>IF(OR(NOT(W35),U35=0),"","【"&amp;U35&amp;"h】")</f>
        <v/>
      </c>
      <c r="J35" s="464" t="str">
        <f>IF(OR(F35=0,F35=""),"",IF(AND(R34=2,COUNTBLANK($F$34:$F$37)=0),"教・保いずれか１つ",IF(W35,IF(X35,IF(OR(Y35,V35=3),IF(AE35,IF(OR(AF35,V35=2,V35=3),"○","要常勤"),"時間無"),"重複"),"名簿無"),"対象外")))</f>
        <v/>
      </c>
      <c r="K35" s="471" t="s">
        <v>961</v>
      </c>
      <c r="L35" s="465" t="str">
        <f>IF(AJ35=1,"調整①→",IF(AJ35=5,"調整②→",IF(AJ35=2,"",IF(AJ35=3,"全計上→","エラー"))))</f>
        <v/>
      </c>
      <c r="M35" s="486">
        <f t="shared" si="25"/>
        <v>0</v>
      </c>
      <c r="N35" s="1942"/>
      <c r="O35" s="2893" t="str">
        <f t="shared" ref="O35:O37" si="28">IF(Q35,IF(S35,"○","×"),"-")</f>
        <v>-</v>
      </c>
      <c r="P35" s="436"/>
      <c r="Q35" s="2749"/>
      <c r="R35" s="2756"/>
      <c r="S35" s="2749"/>
      <c r="T35" s="446" t="str">
        <f>BC6</f>
        <v>保育教諭</v>
      </c>
      <c r="U35" s="407">
        <f>IFERROR(VLOOKUP($F35,$AV$8:$AY$108,4,FALSE),0)</f>
        <v>0</v>
      </c>
      <c r="V35" s="446">
        <v>1</v>
      </c>
      <c r="W35" s="446" t="b">
        <f>OR(R34=1,R34=2)</f>
        <v>0</v>
      </c>
      <c r="X35" s="439" t="b">
        <f ca="1">COUNTIF(INDIRECT(T35),F35)&gt;0</f>
        <v>0</v>
      </c>
      <c r="Y35" s="440" t="b">
        <f>COUNTIF($AD$30:AD34,AD35)+COUNTIF(AD36:$AD$147,AD35)-COUNTIF(Z35:AC35,AD35)=0</f>
        <v>0</v>
      </c>
      <c r="Z35" s="976" t="s">
        <v>804</v>
      </c>
      <c r="AA35" s="976" t="s">
        <v>804</v>
      </c>
      <c r="AB35" s="976" t="s">
        <v>804</v>
      </c>
      <c r="AC35" s="976" t="s">
        <v>804</v>
      </c>
      <c r="AD35" s="972">
        <f>IF(V35=3,0,IFERROR(INDEX($AU$8:$AU$108,MATCH($F35,AV$8:AV$108,0),1),0))</f>
        <v>0</v>
      </c>
      <c r="AE35" s="248" t="b">
        <f t="shared" ref="AE35:AE37" si="29">U35&gt;0</f>
        <v>0</v>
      </c>
      <c r="AF35" s="783" t="b">
        <f>IFERROR(VLOOKUP($F35,$AV$8:$AY$108,2,FALSE),"")="常勤"</f>
        <v>0</v>
      </c>
      <c r="AG35" s="446" t="s">
        <v>804</v>
      </c>
      <c r="AH35" s="446" t="s">
        <v>804</v>
      </c>
      <c r="AI35" s="446">
        <v>1</v>
      </c>
      <c r="AJ35" s="248">
        <f>IF(AND($W35,$J35="○"),IF($K35="-",IF($U35&lt;IF($AI35=5,$AM$4,$AM$3),$AI35,2),IF($K35=0,IF($U35&lt;IF($AI35=5,$AM$4,$AM$3),IF(OR($AI35=1,$AI35=5),$AI35,3),3),IF(K35&lt;IF($AI35=5,$AM$4,$AM$3),$AI35,IF($K35&gt;$U35,4,2)))),2)</f>
        <v>2</v>
      </c>
      <c r="AK35" s="249">
        <f t="shared" si="26"/>
        <v>0</v>
      </c>
      <c r="AP35" s="461"/>
      <c r="AQ35" s="461"/>
      <c r="AT35" s="461"/>
      <c r="AU35" s="247">
        <f t="shared" si="1"/>
        <v>28</v>
      </c>
      <c r="AV35" s="170" t="str">
        <f>AU35&amp;" "&amp;IF(AX35&lt;&gt;"-",'【様式2】職員名簿 '!B71&amp;"/"&amp;AW35&amp;"/"&amp;AX35,"")</f>
        <v xml:space="preserve">28 </v>
      </c>
      <c r="AW35" s="170">
        <f>'【様式2】職員名簿 '!F71</f>
        <v>0</v>
      </c>
      <c r="AX35" s="170" t="str">
        <f>IF('【様式2】職員名簿 '!K71="エラー","-",IF(AND('【様式2】職員名簿 '!C71=$AX$3,'【様式2】職員名簿 '!K71=$AX$4),$AX$3,'【様式2】職員名簿 '!K71))</f>
        <v>-</v>
      </c>
      <c r="AY35" s="783">
        <f>IF($AW35="常勤",$AN$2,IF($AW35="非常勤",'【様式2】職員名簿 '!H71,0))</f>
        <v>0</v>
      </c>
      <c r="AZ35" s="406">
        <f>IF($AX35=AZ$3,COUNTIF($AX$8:$AX35,AZ$3),0)</f>
        <v>0</v>
      </c>
      <c r="BA35" s="788" t="str">
        <f t="shared" si="2"/>
        <v/>
      </c>
      <c r="BB35" s="247">
        <f>IF(OR($AX35=BB$3,$AX35=BB$4),COUNTIF($AX$8:$AX35,BB$3)+COUNTIF($AX$8:$AX35,BB$4),0)</f>
        <v>0</v>
      </c>
      <c r="BC35" s="788" t="str">
        <f t="shared" si="3"/>
        <v/>
      </c>
      <c r="BD35" s="407">
        <f>IF(OR($AX35=$BD$4,$AX35=BD$3),COUNTIFS($AX$8:$AX35,BD$3,$AW$8:$AW35,BD$5)+COUNTIFS($AX$8:$AX35,BD$4,$AW$8:$AW35,BD$5),0)</f>
        <v>0</v>
      </c>
      <c r="BE35" s="788" t="str">
        <f t="shared" si="4"/>
        <v/>
      </c>
      <c r="BF35" s="248">
        <f>IF($AX35=BF$3,COUNTIF($AX$8:$AX35,BF$3),0)</f>
        <v>0</v>
      </c>
      <c r="BG35" s="788" t="str">
        <f t="shared" si="5"/>
        <v/>
      </c>
      <c r="BH35" s="247">
        <f>IF(OR($AX35=BH$3,$AX35=BH$4),COUNTIF($AX$8:$AX35,BH$3)+COUNTIF($AX$8:$AX35,BH$4),0)</f>
        <v>0</v>
      </c>
      <c r="BI35" s="788" t="str">
        <f t="shared" si="6"/>
        <v/>
      </c>
      <c r="BJ35" s="247">
        <f>IF($AX35=BJ$4,COUNTIFS($AW$8:$AW35,BJ$3,$AX$8:$AX35,BJ$4),0)</f>
        <v>0</v>
      </c>
      <c r="BK35" s="788" t="str">
        <f t="shared" si="7"/>
        <v/>
      </c>
      <c r="BL35" s="247">
        <f>IF($AX35=BL$3,COUNTIF($AX$8:$AX35,BL$3),0)</f>
        <v>0</v>
      </c>
      <c r="BM35" s="788" t="str">
        <f t="shared" si="8"/>
        <v/>
      </c>
      <c r="BN35" s="247">
        <f>IF($AX35=BN$3,COUNTIF($AX$8:$AX35,BN$3),0)</f>
        <v>0</v>
      </c>
      <c r="BO35" s="788" t="str">
        <f t="shared" si="9"/>
        <v/>
      </c>
      <c r="BP35" s="247">
        <f>IF($AX35&lt;&gt;BP$3,COUNTIF($AX$8:$AX35,"&lt;&gt;"&amp;BP$3),0)</f>
        <v>0</v>
      </c>
      <c r="BQ35" s="788" t="str">
        <f t="shared" si="10"/>
        <v/>
      </c>
      <c r="BR35" s="247">
        <f>IF($AX35=BR$3,COUNTIF($AX$8:$AX35,BR$3),0)</f>
        <v>0</v>
      </c>
      <c r="BS35" s="788" t="str">
        <f t="shared" si="11"/>
        <v/>
      </c>
      <c r="BT35" s="312"/>
      <c r="BU35" s="312"/>
    </row>
    <row r="36" spans="1:73" ht="15" customHeight="1">
      <c r="A36" s="2656"/>
      <c r="B36" s="2909" t="s">
        <v>155</v>
      </c>
      <c r="C36" s="484" t="s">
        <v>962</v>
      </c>
      <c r="D36" s="2731" t="str">
        <f t="shared" si="27"/>
        <v/>
      </c>
      <c r="E36" s="2743"/>
      <c r="F36" s="2911"/>
      <c r="G36" s="2911"/>
      <c r="H36" s="2912"/>
      <c r="I36" s="887" t="str">
        <f>IF(OR(NOT(W36),U36=0),"","【"&amp;U36&amp;"h】")</f>
        <v/>
      </c>
      <c r="J36" s="485" t="str">
        <f>IF(OR(F36=0,F36=""),"",IF(AND(R34=2,COUNTBLANK($F$34:$F$37)=0),"教・保いずれか１つ",IF(W36,IF(X36,IF(OR(Y36,V36=3),IF(AE36,IF(OR(AF36,V36=2,V36=3),"○","要常勤"),"時間無"),"重複"),"名簿無"),"対象外")))</f>
        <v/>
      </c>
      <c r="K36" s="992" t="s">
        <v>959</v>
      </c>
      <c r="L36" s="793" t="str">
        <f>IF(AJ36=1,"調整①→",IF(AJ36=5,"調整②→",IF(AJ36=2,"",IF(AJ36=3,"全計上→","エラー"))))</f>
        <v/>
      </c>
      <c r="M36" s="794">
        <f t="shared" si="25"/>
        <v>0</v>
      </c>
      <c r="N36" s="2760" t="str">
        <f>IF(OR(R34=1,R34=3),"○",IF(R34=2,"△","×"))</f>
        <v>×</v>
      </c>
      <c r="O36" s="2661" t="str">
        <f>IF(AND(Q36,OR(R34=1,R34=3,AND(R34=2,NOT(Q34)))),"○","×")</f>
        <v>×</v>
      </c>
      <c r="P36" s="436"/>
      <c r="Q36" s="2748" t="b">
        <f>AND($J36="○",$J37="○")</f>
        <v>0</v>
      </c>
      <c r="R36" s="2756"/>
      <c r="S36" s="2748" t="b">
        <f>OR(R34=1,R34=3,AND(R34=2,O34&lt;&gt;"○"))</f>
        <v>0</v>
      </c>
      <c r="T36" s="446" t="str">
        <f t="shared" ref="T36:T37" si="30">$BC$6</f>
        <v>保育教諭</v>
      </c>
      <c r="U36" s="407">
        <f>IFERROR(VLOOKUP($F36,$AV$8:$AY$108,4,FALSE),0)</f>
        <v>0</v>
      </c>
      <c r="V36" s="446">
        <v>2</v>
      </c>
      <c r="W36" s="446" t="b">
        <f>OR(R34=1,R34=2,R34=3)</f>
        <v>0</v>
      </c>
      <c r="X36" s="439" t="b">
        <f ca="1">COUNTIF(INDIRECT(T36),F36)&gt;0</f>
        <v>0</v>
      </c>
      <c r="Y36" s="440" t="b">
        <f>COUNTIF($AD$30:AD35,AD36)+COUNTIF(AD37:$AD$147,AD36)-COUNTIF(Z36:AC36,AD36)=0</f>
        <v>0</v>
      </c>
      <c r="Z36" s="976">
        <f>AD48</f>
        <v>0</v>
      </c>
      <c r="AA36" s="976">
        <f>AD49</f>
        <v>0</v>
      </c>
      <c r="AB36" s="976">
        <f>AD52</f>
        <v>0</v>
      </c>
      <c r="AC36" s="976" t="s">
        <v>804</v>
      </c>
      <c r="AD36" s="972">
        <f>IF(V36=3,0,IFERROR(INDEX($AU$8:$AU$106,MATCH($F36,AV$8:AV$106,0),1),0))</f>
        <v>0</v>
      </c>
      <c r="AE36" s="248" t="b">
        <f t="shared" si="29"/>
        <v>0</v>
      </c>
      <c r="AF36" s="783" t="b">
        <f>IFERROR(VLOOKUP($F36,$AV$8:$AY$108,2,FALSE),"")="常勤"</f>
        <v>0</v>
      </c>
      <c r="AG36" s="446" t="s">
        <v>804</v>
      </c>
      <c r="AH36" s="446" t="s">
        <v>804</v>
      </c>
      <c r="AI36" s="446">
        <v>1</v>
      </c>
      <c r="AJ36" s="248">
        <f>IF(AND($W36,$J36="○"),IF($K36="-",IF($U36&lt;IF($AI36=5,$AM$4,$AM$3),$AI36,2),IF($K36=0,IF($U36&lt;IF($AI36=5,$AM$4,$AM$3),IF(OR($AI36=1,$AI36=5),$AI36,3),3),IF(K36&lt;IF($AI36=5,$AM$4,$AM$3),$AI36,IF($K36&gt;$U36,4,2)))),2)</f>
        <v>2</v>
      </c>
      <c r="AK36" s="249">
        <f t="shared" si="26"/>
        <v>0</v>
      </c>
      <c r="AP36" s="461"/>
      <c r="AQ36" s="461"/>
      <c r="AR36" s="461"/>
      <c r="AS36" s="461"/>
      <c r="AT36" s="461"/>
      <c r="AU36" s="247">
        <f t="shared" si="1"/>
        <v>29</v>
      </c>
      <c r="AV36" s="170" t="str">
        <f>AU36&amp;" "&amp;IF(AX36&lt;&gt;"-",'【様式2】職員名簿 '!B72&amp;"/"&amp;AW36&amp;"/"&amp;AX36,"")</f>
        <v xml:space="preserve">29 </v>
      </c>
      <c r="AW36" s="170">
        <f>'【様式2】職員名簿 '!F72</f>
        <v>0</v>
      </c>
      <c r="AX36" s="170" t="str">
        <f>IF('【様式2】職員名簿 '!K72="エラー","-",IF(AND('【様式2】職員名簿 '!C72=$AX$3,'【様式2】職員名簿 '!K72=$AX$4),$AX$3,'【様式2】職員名簿 '!K72))</f>
        <v>-</v>
      </c>
      <c r="AY36" s="783">
        <f>IF($AW36="常勤",$AN$2,IF($AW36="非常勤",'【様式2】職員名簿 '!H72,0))</f>
        <v>0</v>
      </c>
      <c r="AZ36" s="406">
        <f>IF($AX36=AZ$3,COUNTIF($AX$8:$AX36,AZ$3),0)</f>
        <v>0</v>
      </c>
      <c r="BA36" s="788" t="str">
        <f t="shared" si="2"/>
        <v/>
      </c>
      <c r="BB36" s="247">
        <f>IF(OR($AX36=BB$3,$AX36=BB$4),COUNTIF($AX$8:$AX36,BB$3)+COUNTIF($AX$8:$AX36,BB$4),0)</f>
        <v>0</v>
      </c>
      <c r="BC36" s="788" t="str">
        <f t="shared" si="3"/>
        <v/>
      </c>
      <c r="BD36" s="407">
        <f>IF(OR($AX36=$BD$4,$AX36=BD$3),COUNTIFS($AX$8:$AX36,BD$3,$AW$8:$AW36,BD$5)+COUNTIFS($AX$8:$AX36,BD$4,$AW$8:$AW36,BD$5),0)</f>
        <v>0</v>
      </c>
      <c r="BE36" s="788" t="str">
        <f t="shared" si="4"/>
        <v/>
      </c>
      <c r="BF36" s="248">
        <f>IF($AX36=BF$3,COUNTIF($AX$8:$AX36,BF$3),0)</f>
        <v>0</v>
      </c>
      <c r="BG36" s="788" t="str">
        <f t="shared" si="5"/>
        <v/>
      </c>
      <c r="BH36" s="247">
        <f>IF(OR($AX36=BH$3,$AX36=BH$4),COUNTIF($AX$8:$AX36,BH$3)+COUNTIF($AX$8:$AX36,BH$4),0)</f>
        <v>0</v>
      </c>
      <c r="BI36" s="788" t="str">
        <f t="shared" si="6"/>
        <v/>
      </c>
      <c r="BJ36" s="247">
        <f>IF($AX36=BJ$4,COUNTIFS($AW$8:$AW36,BJ$3,$AX$8:$AX36,BJ$4),0)</f>
        <v>0</v>
      </c>
      <c r="BK36" s="788" t="str">
        <f t="shared" si="7"/>
        <v/>
      </c>
      <c r="BL36" s="247">
        <f>IF($AX36=BL$3,COUNTIF($AX$8:$AX36,BL$3),0)</f>
        <v>0</v>
      </c>
      <c r="BM36" s="788" t="str">
        <f t="shared" si="8"/>
        <v/>
      </c>
      <c r="BN36" s="247">
        <f>IF($AX36=BN$3,COUNTIF($AX$8:$AX36,BN$3),0)</f>
        <v>0</v>
      </c>
      <c r="BO36" s="788" t="str">
        <f t="shared" si="9"/>
        <v/>
      </c>
      <c r="BP36" s="247">
        <f>IF($AX36&lt;&gt;BP$3,COUNTIF($AX$8:$AX36,"&lt;&gt;"&amp;BP$3),0)</f>
        <v>0</v>
      </c>
      <c r="BQ36" s="788" t="str">
        <f t="shared" si="10"/>
        <v/>
      </c>
      <c r="BR36" s="247">
        <f>IF($AX36=BR$3,COUNTIF($AX$8:$AX36,BR$3),0)</f>
        <v>0</v>
      </c>
      <c r="BS36" s="788" t="str">
        <f t="shared" si="11"/>
        <v/>
      </c>
      <c r="BT36" s="312"/>
      <c r="BU36" s="312"/>
    </row>
    <row r="37" spans="1:73" ht="15" customHeight="1">
      <c r="A37" s="2656"/>
      <c r="B37" s="3160"/>
      <c r="C37" s="457" t="s">
        <v>963</v>
      </c>
      <c r="D37" s="2791" t="str">
        <f t="shared" si="27"/>
        <v/>
      </c>
      <c r="E37" s="2792"/>
      <c r="F37" s="2913"/>
      <c r="G37" s="2913"/>
      <c r="H37" s="2754"/>
      <c r="I37" s="888" t="str">
        <f>IF(OR(NOT(W37),U37=0),"","【"&amp;U37&amp;"h】")</f>
        <v/>
      </c>
      <c r="J37" s="458" t="str">
        <f>IF(OR(F37=0,F37=""),"",IF(AND(R34=2,COUNTBLANK($F$34:$F$37)=0),"教・保いずれか１つ",IF(W37,IF(X37,IF(OR(Y37,V37=3),IF(AE37,IF(OR(AF37,V37=2,V37=3),"○","要常勤"),"時間無"),"重複"),"名簿無"),"対象外")))</f>
        <v/>
      </c>
      <c r="K37" s="474" t="s">
        <v>964</v>
      </c>
      <c r="L37" s="792" t="str">
        <f>IF(AJ37=1,"調整①→",IF(AJ37=5,"調整②→",IF(AJ37=2,"",IF(AJ37=3,"全計上→","エラー"))))</f>
        <v/>
      </c>
      <c r="M37" s="796">
        <f t="shared" si="25"/>
        <v>0</v>
      </c>
      <c r="N37" s="2761"/>
      <c r="O37" s="2663" t="str">
        <f t="shared" si="28"/>
        <v>-</v>
      </c>
      <c r="P37" s="436"/>
      <c r="Q37" s="2749"/>
      <c r="R37" s="2749"/>
      <c r="S37" s="2749"/>
      <c r="T37" s="446" t="str">
        <f t="shared" si="30"/>
        <v>保育教諭</v>
      </c>
      <c r="U37" s="407">
        <f>IFERROR(VLOOKUP($F37,$AV$8:$AY$108,4,FALSE),0)</f>
        <v>0</v>
      </c>
      <c r="V37" s="446">
        <v>2</v>
      </c>
      <c r="W37" s="446" t="b">
        <f>OR(R34=1,R34=2,R34=3)</f>
        <v>0</v>
      </c>
      <c r="X37" s="439" t="b">
        <f ca="1">COUNTIF(INDIRECT(T37),F37)&gt;0</f>
        <v>0</v>
      </c>
      <c r="Y37" s="440" t="b">
        <f>COUNTIF($AD$30:AD36,AD37)+COUNTIF(AD38:$AD$147,AD37)-COUNTIF(Z37:AC37,AD37)=0</f>
        <v>0</v>
      </c>
      <c r="Z37" s="976" t="s">
        <v>804</v>
      </c>
      <c r="AA37" s="976" t="s">
        <v>804</v>
      </c>
      <c r="AB37" s="976" t="s">
        <v>804</v>
      </c>
      <c r="AC37" s="976" t="s">
        <v>804</v>
      </c>
      <c r="AD37" s="972">
        <f>IF(V37=3,0,IFERROR(INDEX($AU$8:$AU$106,MATCH($F37,AV$8:AV$106,0),1),0))</f>
        <v>0</v>
      </c>
      <c r="AE37" s="248" t="b">
        <f t="shared" si="29"/>
        <v>0</v>
      </c>
      <c r="AF37" s="783" t="b">
        <f>IFERROR(VLOOKUP($F37,$AV$8:$AY$108,2,FALSE),"")="常勤"</f>
        <v>0</v>
      </c>
      <c r="AG37" s="446" t="s">
        <v>804</v>
      </c>
      <c r="AH37" s="446" t="s">
        <v>804</v>
      </c>
      <c r="AI37" s="446">
        <v>2</v>
      </c>
      <c r="AJ37" s="248">
        <f>IF(AND($W37,$J37="○"),IF($K37="-",IF($U37&lt;IF($AI37=5,$AM$4,$AM$3),$AI37,2),IF($K37=0,IF($U37&lt;IF($AI37=5,$AM$4,$AM$3),IF(OR($AI37=1,$AI37=5),$AI37,3),3),IF(K37&lt;IF($AI37=5,$AM$4,$AM$3),$AI37,IF($K37&gt;$U37,4,2)))),2)</f>
        <v>2</v>
      </c>
      <c r="AK37" s="249">
        <f t="shared" si="26"/>
        <v>0</v>
      </c>
      <c r="AQ37" s="461"/>
      <c r="AR37" s="461"/>
      <c r="AS37" s="461"/>
      <c r="AT37" s="461"/>
      <c r="AU37" s="247">
        <f t="shared" si="1"/>
        <v>30</v>
      </c>
      <c r="AV37" s="170" t="str">
        <f>AU37&amp;" "&amp;IF(AX37&lt;&gt;"-",'【様式2】職員名簿 '!B73&amp;"/"&amp;AW37&amp;"/"&amp;AX37,"")</f>
        <v xml:space="preserve">30 </v>
      </c>
      <c r="AW37" s="170">
        <f>'【様式2】職員名簿 '!F73</f>
        <v>0</v>
      </c>
      <c r="AX37" s="170" t="str">
        <f>IF('【様式2】職員名簿 '!K73="エラー","-",IF(AND('【様式2】職員名簿 '!C73=$AX$3,'【様式2】職員名簿 '!K73=$AX$4),$AX$3,'【様式2】職員名簿 '!K73))</f>
        <v>-</v>
      </c>
      <c r="AY37" s="783">
        <f>IF($AW37="常勤",$AN$2,IF($AW37="非常勤",'【様式2】職員名簿 '!H73,0))</f>
        <v>0</v>
      </c>
      <c r="AZ37" s="406">
        <f>IF($AX37=AZ$3,COUNTIF($AX$8:$AX37,AZ$3),0)</f>
        <v>0</v>
      </c>
      <c r="BA37" s="788" t="str">
        <f t="shared" si="2"/>
        <v/>
      </c>
      <c r="BB37" s="247">
        <f>IF(OR($AX37=BB$3,$AX37=BB$4),COUNTIF($AX$8:$AX37,BB$3)+COUNTIF($AX$8:$AX37,BB$4),0)</f>
        <v>0</v>
      </c>
      <c r="BC37" s="788" t="str">
        <f t="shared" si="3"/>
        <v/>
      </c>
      <c r="BD37" s="407">
        <f>IF(OR($AX37=$BD$4,$AX37=BD$3),COUNTIFS($AX$8:$AX37,BD$3,$AW$8:$AW37,BD$5)+COUNTIFS($AX$8:$AX37,BD$4,$AW$8:$AW37,BD$5),0)</f>
        <v>0</v>
      </c>
      <c r="BE37" s="788" t="str">
        <f t="shared" si="4"/>
        <v/>
      </c>
      <c r="BF37" s="248">
        <f>IF($AX37=BF$3,COUNTIF($AX$8:$AX37,BF$3),0)</f>
        <v>0</v>
      </c>
      <c r="BG37" s="788" t="str">
        <f t="shared" si="5"/>
        <v/>
      </c>
      <c r="BH37" s="247">
        <f>IF(OR($AX37=BH$3,$AX37=BH$4),COUNTIF($AX$8:$AX37,BH$3)+COUNTIF($AX$8:$AX37,BH$4),0)</f>
        <v>0</v>
      </c>
      <c r="BI37" s="788" t="str">
        <f t="shared" si="6"/>
        <v/>
      </c>
      <c r="BJ37" s="247">
        <f>IF($AX37=BJ$4,COUNTIFS($AW$8:$AW37,BJ$3,$AX$8:$AX37,BJ$4),0)</f>
        <v>0</v>
      </c>
      <c r="BK37" s="788" t="str">
        <f t="shared" si="7"/>
        <v/>
      </c>
      <c r="BL37" s="247">
        <f>IF($AX37=BL$3,COUNTIF($AX$8:$AX37,BL$3),0)</f>
        <v>0</v>
      </c>
      <c r="BM37" s="788" t="str">
        <f t="shared" si="8"/>
        <v/>
      </c>
      <c r="BN37" s="247">
        <f>IF($AX37=BN$3,COUNTIF($AX$8:$AX37,BN$3),0)</f>
        <v>0</v>
      </c>
      <c r="BO37" s="788" t="str">
        <f t="shared" si="9"/>
        <v/>
      </c>
      <c r="BP37" s="247">
        <f>IF($AX37&lt;&gt;BP$3,COUNTIF($AX$8:$AX37,"&lt;&gt;"&amp;BP$3),0)</f>
        <v>0</v>
      </c>
      <c r="BQ37" s="788" t="str">
        <f t="shared" si="10"/>
        <v/>
      </c>
      <c r="BR37" s="247">
        <f>IF($AX37=BR$3,COUNTIF($AX$8:$AX37,BR$3),0)</f>
        <v>0</v>
      </c>
      <c r="BS37" s="788" t="str">
        <f t="shared" si="11"/>
        <v/>
      </c>
      <c r="BT37" s="312"/>
      <c r="BU37" s="312"/>
    </row>
    <row r="38" spans="1:73" ht="15" customHeight="1">
      <c r="A38" s="2656"/>
      <c r="B38" s="2827" t="s">
        <v>157</v>
      </c>
      <c r="C38" s="2665"/>
      <c r="D38" s="2731" t="str">
        <f t="shared" si="23"/>
        <v>調理員</v>
      </c>
      <c r="E38" s="2743"/>
      <c r="F38" s="2901" t="str">
        <f>IF(R38=1,"利用定員"&amp;B17&amp;"人は"&amp;IF(B17&lt;=40,"常勤換算１人",IF(B17&lt;=150,"常勤換算２人","常勤換算２人+非常勤１名")),IF(R38=2,"業務委託","エラー：個票0を見直すこと"))&amp;IF(B24&gt;0,"／分園："&amp;IF(【様式１】総括表・個票!AI79,"本園等から搬入のため不要","常勤換算"&amp;IF(B24&lt;=40,1,2)&amp;"人"),"")</f>
        <v>利用定員0人は常勤換算１人</v>
      </c>
      <c r="G38" s="2902"/>
      <c r="H38" s="2902"/>
      <c r="I38" s="2902"/>
      <c r="J38" s="2902"/>
      <c r="K38" s="2903"/>
      <c r="L38" s="452" t="s">
        <v>832</v>
      </c>
      <c r="M38" s="453" t="s">
        <v>832</v>
      </c>
      <c r="N38" s="462" t="str">
        <f t="shared" ref="N38:N58" si="31">IF(Q38,"○","×")</f>
        <v>○</v>
      </c>
      <c r="O38" s="2661" t="str">
        <f>IF(Q38,IF(S38,"○","×"),"-")</f>
        <v>×</v>
      </c>
      <c r="P38" s="436"/>
      <c r="Q38" s="463" t="b">
        <f>TRUE()</f>
        <v>1</v>
      </c>
      <c r="R38" s="445">
        <f>IF(【様式１】総括表・個票!AI77,1,IF(【様式１】総括表・個票!AI78,2,0))</f>
        <v>1</v>
      </c>
      <c r="S38" s="445" t="b">
        <f>AND($O$187&gt;=0,IF(Q39,S39,TRUE),IF(Q40,S40,TRUE),IF(Q41,S41,TRUE),OR(Q39,Q40,Q41))</f>
        <v>0</v>
      </c>
      <c r="T38" s="446" t="str">
        <f>$BI$6</f>
        <v>調理員</v>
      </c>
      <c r="U38" s="407" t="s">
        <v>750</v>
      </c>
      <c r="V38" s="446" t="s">
        <v>804</v>
      </c>
      <c r="W38" s="446" t="b">
        <f>Q38</f>
        <v>1</v>
      </c>
      <c r="X38" s="439" t="s">
        <v>804</v>
      </c>
      <c r="Y38" s="440" t="s">
        <v>804</v>
      </c>
      <c r="Z38" s="976" t="s">
        <v>804</v>
      </c>
      <c r="AA38" s="976" t="s">
        <v>804</v>
      </c>
      <c r="AB38" s="976" t="s">
        <v>804</v>
      </c>
      <c r="AC38" s="976" t="s">
        <v>804</v>
      </c>
      <c r="AD38" s="454" t="s">
        <v>804</v>
      </c>
      <c r="AE38" s="455" t="s">
        <v>804</v>
      </c>
      <c r="AF38" s="456" t="s">
        <v>804</v>
      </c>
      <c r="AG38" s="446" t="s">
        <v>804</v>
      </c>
      <c r="AH38" s="446" t="s">
        <v>804</v>
      </c>
      <c r="AI38" s="446" t="s">
        <v>804</v>
      </c>
      <c r="AJ38" s="248" t="s">
        <v>804</v>
      </c>
      <c r="AK38" s="249" t="s">
        <v>804</v>
      </c>
      <c r="AQ38" s="461"/>
      <c r="AS38" s="461"/>
      <c r="AT38" s="461"/>
      <c r="AU38" s="247">
        <f t="shared" si="1"/>
        <v>31</v>
      </c>
      <c r="AV38" s="170" t="str">
        <f>AU38&amp;" "&amp;IF(AX38&lt;&gt;"-",'【様式2】職員名簿 '!B74&amp;"/"&amp;AW38&amp;"/"&amp;AX38,"")</f>
        <v xml:space="preserve">31 </v>
      </c>
      <c r="AW38" s="170">
        <f>'【様式2】職員名簿 '!F74</f>
        <v>0</v>
      </c>
      <c r="AX38" s="170" t="str">
        <f>IF('【様式2】職員名簿 '!K74="エラー","-",IF(AND('【様式2】職員名簿 '!C74=$AX$3,'【様式2】職員名簿 '!K74=$AX$4),$AX$3,'【様式2】職員名簿 '!K74))</f>
        <v>-</v>
      </c>
      <c r="AY38" s="783">
        <f>IF($AW38="常勤",$AN$2,IF($AW38="非常勤",'【様式2】職員名簿 '!H74,0))</f>
        <v>0</v>
      </c>
      <c r="AZ38" s="406">
        <f>IF($AX38=AZ$3,COUNTIF($AX$8:$AX38,AZ$3),0)</f>
        <v>0</v>
      </c>
      <c r="BA38" s="788" t="str">
        <f t="shared" si="2"/>
        <v/>
      </c>
      <c r="BB38" s="247">
        <f>IF(OR($AX38=BB$3,$AX38=BB$4),COUNTIF($AX$8:$AX38,BB$3)+COUNTIF($AX$8:$AX38,BB$4),0)</f>
        <v>0</v>
      </c>
      <c r="BC38" s="788" t="str">
        <f t="shared" si="3"/>
        <v/>
      </c>
      <c r="BD38" s="407">
        <f>IF(OR($AX38=$BD$4,$AX38=BD$3),COUNTIFS($AX$8:$AX38,BD$3,$AW$8:$AW38,BD$5)+COUNTIFS($AX$8:$AX38,BD$4,$AW$8:$AW38,BD$5),0)</f>
        <v>0</v>
      </c>
      <c r="BE38" s="788" t="str">
        <f t="shared" si="4"/>
        <v/>
      </c>
      <c r="BF38" s="248">
        <f>IF($AX38=BF$3,COUNTIF($AX$8:$AX38,BF$3),0)</f>
        <v>0</v>
      </c>
      <c r="BG38" s="788" t="str">
        <f t="shared" si="5"/>
        <v/>
      </c>
      <c r="BH38" s="247">
        <f>IF(OR($AX38=BH$3,$AX38=BH$4),COUNTIF($AX$8:$AX38,BH$3)+COUNTIF($AX$8:$AX38,BH$4),0)</f>
        <v>0</v>
      </c>
      <c r="BI38" s="788" t="str">
        <f t="shared" si="6"/>
        <v/>
      </c>
      <c r="BJ38" s="247">
        <f>IF($AX38=BJ$4,COUNTIFS($AW$8:$AW38,BJ$3,$AX$8:$AX38,BJ$4),0)</f>
        <v>0</v>
      </c>
      <c r="BK38" s="788" t="str">
        <f t="shared" si="7"/>
        <v/>
      </c>
      <c r="BL38" s="247">
        <f>IF($AX38=BL$3,COUNTIF($AX$8:$AX38,BL$3),0)</f>
        <v>0</v>
      </c>
      <c r="BM38" s="788" t="str">
        <f t="shared" si="8"/>
        <v/>
      </c>
      <c r="BN38" s="247">
        <f>IF($AX38=BN$3,COUNTIF($AX$8:$AX38,BN$3),0)</f>
        <v>0</v>
      </c>
      <c r="BO38" s="788" t="str">
        <f t="shared" si="9"/>
        <v/>
      </c>
      <c r="BP38" s="247">
        <f>IF($AX38&lt;&gt;BP$3,COUNTIF($AX$8:$AX38,"&lt;&gt;"&amp;BP$3),0)</f>
        <v>0</v>
      </c>
      <c r="BQ38" s="788" t="str">
        <f t="shared" si="10"/>
        <v/>
      </c>
      <c r="BR38" s="247">
        <f>IF($AX38=BR$3,COUNTIF($AX$8:$AX38,BR$3),0)</f>
        <v>0</v>
      </c>
      <c r="BS38" s="788" t="str">
        <f t="shared" si="11"/>
        <v/>
      </c>
      <c r="BT38" s="312"/>
      <c r="BU38" s="312"/>
    </row>
    <row r="39" spans="1:73" ht="15" customHeight="1">
      <c r="A39" s="2656"/>
      <c r="B39" s="2828"/>
      <c r="C39" s="2666"/>
      <c r="D39" s="2998" t="str">
        <f>IF(R38=1,"雇用",IF(R38=2,"委託","エラー"))</f>
        <v>雇用</v>
      </c>
      <c r="E39" s="977" t="str">
        <f>IF(W39,T39,"")</f>
        <v>常勤調理員</v>
      </c>
      <c r="F39" s="2658" t="str">
        <f>IF(Q39,"常勤換算"&amp;IF(B17&lt;=40,1,2)+IF(B24&gt;0,IF(【様式１】総括表・個票!AI79,0,IF(B24&lt;=40,1,2)))&amp;"人","")</f>
        <v>常勤換算1人</v>
      </c>
      <c r="G39" s="2659"/>
      <c r="H39" s="2659"/>
      <c r="I39" s="2659"/>
      <c r="J39" s="2659"/>
      <c r="K39" s="2660"/>
      <c r="L39" s="1114" t="s">
        <v>750</v>
      </c>
      <c r="M39" s="1115" t="s">
        <v>750</v>
      </c>
      <c r="N39" s="467" t="str">
        <f t="shared" si="31"/>
        <v>○</v>
      </c>
      <c r="O39" s="2662"/>
      <c r="P39" s="436"/>
      <c r="Q39" s="468" t="b">
        <f>R39</f>
        <v>1</v>
      </c>
      <c r="R39" s="445" t="b">
        <f>R38=1</f>
        <v>1</v>
      </c>
      <c r="S39" s="445" t="b">
        <f>$O$187&gt;=0</f>
        <v>0</v>
      </c>
      <c r="T39" s="446" t="s">
        <v>1240</v>
      </c>
      <c r="U39" s="407" t="s">
        <v>804</v>
      </c>
      <c r="V39" s="446" t="s">
        <v>804</v>
      </c>
      <c r="W39" s="469" t="b">
        <f>AND(Q39,R39)</f>
        <v>1</v>
      </c>
      <c r="X39" s="439" t="s">
        <v>750</v>
      </c>
      <c r="Y39" s="440" t="s">
        <v>804</v>
      </c>
      <c r="Z39" s="976" t="s">
        <v>804</v>
      </c>
      <c r="AA39" s="976" t="s">
        <v>804</v>
      </c>
      <c r="AB39" s="976" t="s">
        <v>804</v>
      </c>
      <c r="AC39" s="976" t="s">
        <v>804</v>
      </c>
      <c r="AD39" s="454" t="s">
        <v>804</v>
      </c>
      <c r="AE39" s="455" t="s">
        <v>804</v>
      </c>
      <c r="AF39" s="456" t="s">
        <v>804</v>
      </c>
      <c r="AG39" s="446" t="s">
        <v>804</v>
      </c>
      <c r="AH39" s="446" t="s">
        <v>804</v>
      </c>
      <c r="AI39" s="446" t="s">
        <v>804</v>
      </c>
      <c r="AJ39" s="248" t="s">
        <v>804</v>
      </c>
      <c r="AK39" s="249" t="s">
        <v>804</v>
      </c>
      <c r="AS39" s="461"/>
      <c r="AT39" s="461"/>
      <c r="AU39" s="247">
        <f t="shared" si="1"/>
        <v>32</v>
      </c>
      <c r="AV39" s="170" t="str">
        <f>AU39&amp;" "&amp;IF(AX39&lt;&gt;"-",'【様式2】職員名簿 '!B75&amp;"/"&amp;AW39&amp;"/"&amp;AX39,"")</f>
        <v xml:space="preserve">32 </v>
      </c>
      <c r="AW39" s="170">
        <f>'【様式2】職員名簿 '!F75</f>
        <v>0</v>
      </c>
      <c r="AX39" s="170" t="str">
        <f>IF('【様式2】職員名簿 '!K75="エラー","-",IF(AND('【様式2】職員名簿 '!C75=$AX$3,'【様式2】職員名簿 '!K75=$AX$4),$AX$3,'【様式2】職員名簿 '!K75))</f>
        <v>-</v>
      </c>
      <c r="AY39" s="783">
        <f>IF($AW39="常勤",$AN$2,IF($AW39="非常勤",'【様式2】職員名簿 '!H75,0))</f>
        <v>0</v>
      </c>
      <c r="AZ39" s="406">
        <f>IF($AX39=AZ$3,COUNTIF($AX$8:$AX39,AZ$3),0)</f>
        <v>0</v>
      </c>
      <c r="BA39" s="788" t="str">
        <f t="shared" si="2"/>
        <v/>
      </c>
      <c r="BB39" s="247">
        <f>IF(OR($AX39=BB$3,$AX39=BB$4),COUNTIF($AX$8:$AX39,BB$3)+COUNTIF($AX$8:$AX39,BB$4),0)</f>
        <v>0</v>
      </c>
      <c r="BC39" s="788" t="str">
        <f t="shared" si="3"/>
        <v/>
      </c>
      <c r="BD39" s="407">
        <f>IF(OR($AX39=$BD$4,$AX39=BD$3),COUNTIFS($AX$8:$AX39,BD$3,$AW$8:$AW39,BD$5)+COUNTIFS($AX$8:$AX39,BD$4,$AW$8:$AW39,BD$5),0)</f>
        <v>0</v>
      </c>
      <c r="BE39" s="788" t="str">
        <f t="shared" si="4"/>
        <v/>
      </c>
      <c r="BF39" s="248">
        <f>IF($AX39=BF$3,COUNTIF($AX$8:$AX39,BF$3),0)</f>
        <v>0</v>
      </c>
      <c r="BG39" s="788" t="str">
        <f t="shared" si="5"/>
        <v/>
      </c>
      <c r="BH39" s="247">
        <f>IF(OR($AX39=BH$3,$AX39=BH$4),COUNTIF($AX$8:$AX39,BH$3)+COUNTIF($AX$8:$AX39,BH$4),0)</f>
        <v>0</v>
      </c>
      <c r="BI39" s="788" t="str">
        <f t="shared" si="6"/>
        <v/>
      </c>
      <c r="BJ39" s="247">
        <f>IF($AX39=BJ$4,COUNTIFS($AW$8:$AW39,BJ$3,$AX$8:$AX39,BJ$4),0)</f>
        <v>0</v>
      </c>
      <c r="BK39" s="788" t="str">
        <f t="shared" si="7"/>
        <v/>
      </c>
      <c r="BL39" s="247">
        <f>IF($AX39=BL$3,COUNTIF($AX$8:$AX39,BL$3),0)</f>
        <v>0</v>
      </c>
      <c r="BM39" s="788" t="str">
        <f t="shared" si="8"/>
        <v/>
      </c>
      <c r="BN39" s="247">
        <f>IF($AX39=BN$3,COUNTIF($AX$8:$AX39,BN$3),0)</f>
        <v>0</v>
      </c>
      <c r="BO39" s="788" t="str">
        <f t="shared" si="9"/>
        <v/>
      </c>
      <c r="BP39" s="247">
        <f>IF($AX39&lt;&gt;BP$3,COUNTIF($AX$8:$AX39,"&lt;&gt;"&amp;BP$3),0)</f>
        <v>0</v>
      </c>
      <c r="BQ39" s="788" t="str">
        <f t="shared" si="10"/>
        <v/>
      </c>
      <c r="BR39" s="247">
        <f>IF($AX39=BR$3,COUNTIF($AX$8:$AX39,BR$3),0)</f>
        <v>0</v>
      </c>
      <c r="BS39" s="788" t="str">
        <f t="shared" si="11"/>
        <v/>
      </c>
      <c r="BT39" s="312"/>
      <c r="BU39" s="312"/>
    </row>
    <row r="40" spans="1:73" ht="15" customHeight="1">
      <c r="A40" s="2656"/>
      <c r="B40" s="2828"/>
      <c r="C40" s="2666"/>
      <c r="D40" s="2998"/>
      <c r="E40" s="977" t="str">
        <f>IF(W40,T40,"")</f>
        <v/>
      </c>
      <c r="F40" s="2754"/>
      <c r="G40" s="2755"/>
      <c r="H40" s="2755"/>
      <c r="I40" s="889" t="str">
        <f t="shared" ref="I40:I50" si="32">IF(OR(NOT(W40),U40=0),"","【"&amp;U40&amp;"h】")</f>
        <v/>
      </c>
      <c r="J40" s="464" t="str">
        <f>IF(OR(F40=0,F40=""),"",IF(W40,IF(X40,IF(OR(Y40,V40=3),IF(AE40,IF(OR(AF40,V40=2,V40=3),"○","要常勤"),"時間無"),"重複"),"名簿無"),"対象外"))</f>
        <v/>
      </c>
      <c r="K40" s="471" t="s">
        <v>832</v>
      </c>
      <c r="L40" s="465" t="str">
        <f>IF(AJ40=1,"調整①→",IF(AJ40=5,"調整②→",IF(AJ40=2,"",IF(AJ40=3,"全計上→","エラー"))))</f>
        <v/>
      </c>
      <c r="M40" s="466">
        <f>IF(OR(AND(J40&lt;&gt;"",J40&lt;&gt;"○"),AJ40=4),"×",IF(J40="",0,AK40/$AN$2))</f>
        <v>0</v>
      </c>
      <c r="N40" s="467" t="str">
        <f t="shared" si="31"/>
        <v>×</v>
      </c>
      <c r="O40" s="2662"/>
      <c r="P40" s="436"/>
      <c r="Q40" s="468" t="b">
        <f>AND(Q38,R40)</f>
        <v>0</v>
      </c>
      <c r="R40" s="445" t="b">
        <f>AND(R38=1,B17&gt;=151)</f>
        <v>0</v>
      </c>
      <c r="S40" s="445" t="b">
        <f>AND(J40="○",$O$187&gt;=0)</f>
        <v>0</v>
      </c>
      <c r="T40" s="446" t="str">
        <f>$BI$6</f>
        <v>調理員</v>
      </c>
      <c r="U40" s="407">
        <f>IFERROR(VLOOKUP($F40,$AV$8:$AY$108,4,FALSE),0)</f>
        <v>0</v>
      </c>
      <c r="V40" s="446">
        <v>2</v>
      </c>
      <c r="W40" s="469" t="b">
        <f>AND(R38=1,B17&gt;=151)</f>
        <v>0</v>
      </c>
      <c r="X40" s="439" t="b">
        <f t="shared" ref="X40:X53" ca="1" si="33">COUNTIF(INDIRECT(T40),F40)&gt;0</f>
        <v>0</v>
      </c>
      <c r="Y40" s="440" t="b">
        <f>COUNTIF($AD$30:AD39,AD40)+COUNTIF(AD41:$AD$147,AD40)-COUNTIF(Z40:AC40,AD40)=0</f>
        <v>0</v>
      </c>
      <c r="Z40" s="976" t="s">
        <v>804</v>
      </c>
      <c r="AA40" s="976" t="s">
        <v>804</v>
      </c>
      <c r="AB40" s="976" t="s">
        <v>804</v>
      </c>
      <c r="AC40" s="976" t="s">
        <v>804</v>
      </c>
      <c r="AD40" s="454">
        <f>IF(V40=3,0,IFERROR(INDEX($AU$8:$AU$108,MATCH($F40,AV$8:AV$108,0),1),0))</f>
        <v>0</v>
      </c>
      <c r="AE40" s="455" t="b">
        <f t="shared" ref="AE40:AE53" si="34">U40&gt;0</f>
        <v>0</v>
      </c>
      <c r="AF40" s="456" t="b">
        <f>IFERROR(VLOOKUP($F40,$AV$8:$AY$108,2,FALSE),"")="常勤"</f>
        <v>0</v>
      </c>
      <c r="AG40" s="446" t="s">
        <v>804</v>
      </c>
      <c r="AH40" s="446" t="s">
        <v>804</v>
      </c>
      <c r="AI40" s="446">
        <v>1</v>
      </c>
      <c r="AJ40" s="248">
        <f>IF(AND($W40,$J40="○"),IF($K40="-",IF($U40&lt;IF($AI40=5,$AM$4,$AM$3),$AI40,2),IF($K40=0,IF($U40&lt;IF($AI40=5,$AM$4,$AM$3),IF(OR($AI40=1,$AI40=5),$AI40,3),3),IF(K40&lt;IF($AI40=5,$AM$4,$AM$3),$AI40,IF($K40&gt;$U40,4,2)))),2)</f>
        <v>2</v>
      </c>
      <c r="AK40" s="249">
        <f t="shared" ref="AK40:AK53" si="35">IF(AJ40=1,$AM$3,IF(AJ40=5,$AM$4,IF(AJ40=2,IF(K40="-",U40,K40),IF(AJ40=3,U40,"×"))))</f>
        <v>0</v>
      </c>
      <c r="AR40" s="461"/>
      <c r="AS40" s="461"/>
      <c r="AT40" s="461"/>
      <c r="AU40" s="247">
        <f t="shared" si="1"/>
        <v>33</v>
      </c>
      <c r="AV40" s="170" t="str">
        <f>AU40&amp;" "&amp;IF(AX40&lt;&gt;"-",'【様式2】職員名簿 '!B76&amp;"/"&amp;AW40&amp;"/"&amp;AX40,"")</f>
        <v xml:space="preserve">33 </v>
      </c>
      <c r="AW40" s="170">
        <f>'【様式2】職員名簿 '!F76</f>
        <v>0</v>
      </c>
      <c r="AX40" s="170" t="str">
        <f>IF('【様式2】職員名簿 '!K76="エラー","-",IF(AND('【様式2】職員名簿 '!C76=$AX$3,'【様式2】職員名簿 '!K76=$AX$4),$AX$3,'【様式2】職員名簿 '!K76))</f>
        <v>-</v>
      </c>
      <c r="AY40" s="783">
        <f>IF($AW40="常勤",$AN$2,IF($AW40="非常勤",'【様式2】職員名簿 '!H76,0))</f>
        <v>0</v>
      </c>
      <c r="AZ40" s="406">
        <f>IF($AX40=AZ$3,COUNTIF($AX$8:$AX40,AZ$3),0)</f>
        <v>0</v>
      </c>
      <c r="BA40" s="788" t="str">
        <f t="shared" ref="BA40:BA57" si="36">IFERROR(INDEX($AV$8:$AV$108,MATCH($AU40,AZ$8:AZ$108,0),1),"")</f>
        <v/>
      </c>
      <c r="BB40" s="247">
        <f>IF(OR($AX40=BB$3,$AX40=BB$4),COUNTIF($AX$8:$AX40,BB$3)+COUNTIF($AX$8:$AX40,BB$4),0)</f>
        <v>0</v>
      </c>
      <c r="BC40" s="788" t="str">
        <f t="shared" ref="BC40:BC57" si="37">IFERROR(INDEX($AV$8:$AV$108,MATCH($AU40,BB$8:BB$108,0),1),"")</f>
        <v/>
      </c>
      <c r="BD40" s="407">
        <f>IF(OR($AX40=$BD$4,$AX40=BD$3),COUNTIFS($AX$8:$AX40,BD$3,$AW$8:$AW40,BD$5)+COUNTIFS($AX$8:$AX40,BD$4,$AW$8:$AW40,BD$5),0)</f>
        <v>0</v>
      </c>
      <c r="BE40" s="788" t="str">
        <f t="shared" ref="BE40:BE57" si="38">IFERROR(INDEX($AV$8:$AV$108,MATCH($AU40,BD$8:BD$108,0),1),"")</f>
        <v/>
      </c>
      <c r="BF40" s="248">
        <f>IF($AX40=BF$3,COUNTIF($AX$8:$AX40,BF$3),0)</f>
        <v>0</v>
      </c>
      <c r="BG40" s="788" t="str">
        <f t="shared" ref="BG40:BG57" si="39">IFERROR(INDEX($AV$8:$AV$108,MATCH($AU40,BF$8:BF$108,0),1),"")</f>
        <v/>
      </c>
      <c r="BH40" s="247">
        <f>IF(OR($AX40=BH$3,$AX40=BH$4),COUNTIF($AX$8:$AX40,BH$3)+COUNTIF($AX$8:$AX40,BH$4),0)</f>
        <v>0</v>
      </c>
      <c r="BI40" s="788" t="str">
        <f t="shared" ref="BI40:BI57" si="40">IFERROR(INDEX($AV$8:$AV$108,MATCH($AU40,BH$8:BH$108,0),1),"")</f>
        <v/>
      </c>
      <c r="BJ40" s="247">
        <f>IF($AX40=BJ$4,COUNTIFS($AW$8:$AW40,BJ$3,$AX$8:$AX40,BJ$4),0)</f>
        <v>0</v>
      </c>
      <c r="BK40" s="788" t="str">
        <f t="shared" ref="BK40:BK57" si="41">IFERROR(INDEX($AV$8:$AV$108,MATCH($AU40,BJ$8:BJ$108,0),1),"")</f>
        <v/>
      </c>
      <c r="BL40" s="247">
        <f>IF($AX40=BL$3,COUNTIF($AX$8:$AX40,BL$3),0)</f>
        <v>0</v>
      </c>
      <c r="BM40" s="788" t="str">
        <f t="shared" ref="BM40:BM57" si="42">IFERROR(INDEX($AV$8:$AV$108,MATCH($AU40,BL$8:BL$108,0),1),"")</f>
        <v/>
      </c>
      <c r="BN40" s="247">
        <f>IF($AX40=BN$3,COUNTIF($AX$8:$AX40,BN$3),0)</f>
        <v>0</v>
      </c>
      <c r="BO40" s="788" t="str">
        <f t="shared" ref="BO40:BO57" si="43">IFERROR(INDEX($AV$8:$AV$108,MATCH($AU40,BN$8:BN$108,0),1),"")</f>
        <v/>
      </c>
      <c r="BP40" s="247">
        <f>IF($AX40&lt;&gt;BP$3,COUNTIF($AX$8:$AX40,"&lt;&gt;"&amp;BP$3),0)</f>
        <v>0</v>
      </c>
      <c r="BQ40" s="788" t="str">
        <f t="shared" ref="BQ40:BQ57" si="44">IFERROR(INDEX($AV$8:$AV$108,MATCH($AU40,BP$8:BP$108,0),1),"")</f>
        <v/>
      </c>
      <c r="BR40" s="247">
        <f>IF($AX40=BR$3,COUNTIF($AX$8:$AX40,BR$3),0)</f>
        <v>0</v>
      </c>
      <c r="BS40" s="788" t="str">
        <f t="shared" ref="BS40:BS57" si="45">IFERROR(INDEX($AV$8:$AV$108,MATCH($AU40,BR$8:BR$108,0),1),"")</f>
        <v/>
      </c>
      <c r="BT40" s="312"/>
      <c r="BU40" s="312"/>
    </row>
    <row r="41" spans="1:73" ht="15" customHeight="1">
      <c r="A41" s="2656"/>
      <c r="B41" s="2701"/>
      <c r="C41" s="2860"/>
      <c r="D41" s="2999"/>
      <c r="E41" s="801" t="str">
        <f>IF(W41,T41,"")</f>
        <v/>
      </c>
      <c r="F41" s="2872" t="str">
        <f>IF(W41,BU9,"")</f>
        <v/>
      </c>
      <c r="G41" s="2873"/>
      <c r="H41" s="2873"/>
      <c r="I41" s="889" t="str">
        <f>IF(OR(NOT(W41),U41=0),"","【"&amp;U41&amp;"h】")</f>
        <v/>
      </c>
      <c r="J41" s="464" t="str">
        <f t="shared" ref="J41" si="46">IF(OR(F41=0,F41=""),"",IF(W41,IF(X41,IF(OR(Y41,V41=3),IF(AE41,IF(OR(AF41,V41=2,V41=3),"○","要常勤"),"時間無"),"重複"),"名簿無"),"対象外"))</f>
        <v/>
      </c>
      <c r="K41" s="474" t="s">
        <v>1025</v>
      </c>
      <c r="L41" s="465" t="s">
        <v>1032</v>
      </c>
      <c r="M41" s="466" t="s">
        <v>1032</v>
      </c>
      <c r="N41" s="467" t="str">
        <f t="shared" si="31"/>
        <v>×</v>
      </c>
      <c r="O41" s="2663"/>
      <c r="P41" s="436"/>
      <c r="Q41" s="802" t="b">
        <f>AND(Q38,R41)</f>
        <v>0</v>
      </c>
      <c r="R41" s="446" t="b">
        <f>R38=2</f>
        <v>0</v>
      </c>
      <c r="S41" s="975" t="b">
        <f>AND(J41="○",$O$187&gt;=0)</f>
        <v>0</v>
      </c>
      <c r="T41" s="446" t="str">
        <f>$BU$6</f>
        <v>業務委託</v>
      </c>
      <c r="U41" s="797">
        <f>BV9</f>
        <v>0</v>
      </c>
      <c r="V41" s="446">
        <v>3</v>
      </c>
      <c r="W41" s="446" t="b">
        <f>Q41</f>
        <v>0</v>
      </c>
      <c r="X41" s="439" t="b">
        <f ca="1">COUNTIF(INDIRECT(T41),F41)&gt;0</f>
        <v>0</v>
      </c>
      <c r="Y41" s="440" t="b">
        <f>COUNTIF($AD$30:AD40,AD41)+COUNTIF(AD42:$AD$147,AD41)-COUNTIF(Z41:AC41,AD41)=0</f>
        <v>0</v>
      </c>
      <c r="Z41" s="976" t="s">
        <v>804</v>
      </c>
      <c r="AA41" s="976" t="s">
        <v>804</v>
      </c>
      <c r="AB41" s="976" t="s">
        <v>804</v>
      </c>
      <c r="AC41" s="976" t="s">
        <v>804</v>
      </c>
      <c r="AD41" s="454">
        <f>IF(V41=3,0,IFERROR(INDEX($AU$8:$AU$108,MATCH($F41,AV$8:AV$108,0),1),0))</f>
        <v>0</v>
      </c>
      <c r="AE41" s="455" t="b">
        <f t="shared" si="34"/>
        <v>0</v>
      </c>
      <c r="AF41" s="456" t="b">
        <f>IFERROR(VLOOKUP($F41,$AV$8:$AY$108,2,FALSE),"")="常勤"</f>
        <v>0</v>
      </c>
      <c r="AG41" s="446" t="s">
        <v>804</v>
      </c>
      <c r="AH41" s="446" t="s">
        <v>804</v>
      </c>
      <c r="AI41" s="446">
        <v>2</v>
      </c>
      <c r="AJ41" s="248">
        <f t="shared" ref="AJ41" si="47">IF(AND($W41,$J41="○"),IF($K41="-",IF($U41&lt;IF($AI41=5,$AM$4,$AM$3),$AI41,2),IF($K41=0,IF($U41&lt;IF($AI41=5,$AM$4,$AM$3),IF(OR($AI41=1,$AI41=5),$AI41,3),3),IF(K41&lt;IF($AI41=5,$AM$4,$AM$3),$AI41,IF($K41&gt;$U41,4,2)))),2)</f>
        <v>2</v>
      </c>
      <c r="AK41" s="249">
        <f t="shared" si="35"/>
        <v>0</v>
      </c>
      <c r="AQ41" s="461"/>
      <c r="AR41" s="461"/>
      <c r="AS41" s="461"/>
      <c r="AT41" s="461"/>
      <c r="AU41" s="247">
        <f t="shared" si="1"/>
        <v>34</v>
      </c>
      <c r="AV41" s="170" t="str">
        <f>AU41&amp;" "&amp;IF(AX41&lt;&gt;"-",'【様式2】職員名簿 '!B77&amp;"/"&amp;AW41&amp;"/"&amp;AX41,"")</f>
        <v xml:space="preserve">34 </v>
      </c>
      <c r="AW41" s="170">
        <f>'【様式2】職員名簿 '!F77</f>
        <v>0</v>
      </c>
      <c r="AX41" s="170" t="str">
        <f>IF('【様式2】職員名簿 '!K77="エラー","-",IF(AND('【様式2】職員名簿 '!C77=$AX$3,'【様式2】職員名簿 '!K77=$AX$4),$AX$3,'【様式2】職員名簿 '!K77))</f>
        <v>-</v>
      </c>
      <c r="AY41" s="783">
        <f>IF($AW41="常勤",$AN$2,IF($AW41="非常勤",'【様式2】職員名簿 '!H77,0))</f>
        <v>0</v>
      </c>
      <c r="AZ41" s="406">
        <f>IF($AX41=AZ$3,COUNTIF($AX$8:$AX41,AZ$3),0)</f>
        <v>0</v>
      </c>
      <c r="BA41" s="788" t="str">
        <f t="shared" si="36"/>
        <v/>
      </c>
      <c r="BB41" s="247">
        <f>IF(OR($AX41=BB$3,$AX41=BB$4),COUNTIF($AX$8:$AX41,BB$3)+COUNTIF($AX$8:$AX41,BB$4),0)</f>
        <v>0</v>
      </c>
      <c r="BC41" s="788" t="str">
        <f t="shared" si="37"/>
        <v/>
      </c>
      <c r="BD41" s="407">
        <f>IF(OR($AX41=$BD$4,$AX41=BD$3),COUNTIFS($AX$8:$AX41,BD$3,$AW$8:$AW41,BD$5)+COUNTIFS($AX$8:$AX41,BD$4,$AW$8:$AW41,BD$5),0)</f>
        <v>0</v>
      </c>
      <c r="BE41" s="788" t="str">
        <f t="shared" si="38"/>
        <v/>
      </c>
      <c r="BF41" s="248">
        <f>IF($AX41=BF$3,COUNTIF($AX$8:$AX41,BF$3),0)</f>
        <v>0</v>
      </c>
      <c r="BG41" s="788" t="str">
        <f t="shared" si="39"/>
        <v/>
      </c>
      <c r="BH41" s="247">
        <f>IF(OR($AX41=BH$3,$AX41=BH$4),COUNTIF($AX$8:$AX41,BH$3)+COUNTIF($AX$8:$AX41,BH$4),0)</f>
        <v>0</v>
      </c>
      <c r="BI41" s="788" t="str">
        <f t="shared" si="40"/>
        <v/>
      </c>
      <c r="BJ41" s="247">
        <f>IF($AX41=BJ$4,COUNTIFS($AW$8:$AW41,BJ$3,$AX$8:$AX41,BJ$4),0)</f>
        <v>0</v>
      </c>
      <c r="BK41" s="788" t="str">
        <f t="shared" si="41"/>
        <v/>
      </c>
      <c r="BL41" s="247">
        <f>IF($AX41=BL$3,COUNTIF($AX$8:$AX41,BL$3),0)</f>
        <v>0</v>
      </c>
      <c r="BM41" s="788" t="str">
        <f t="shared" si="42"/>
        <v/>
      </c>
      <c r="BN41" s="247">
        <f>IF($AX41=BN$3,COUNTIF($AX$8:$AX41,BN$3),0)</f>
        <v>0</v>
      </c>
      <c r="BO41" s="788" t="str">
        <f t="shared" si="43"/>
        <v/>
      </c>
      <c r="BP41" s="247">
        <f>IF($AX41&lt;&gt;BP$3,COUNTIF($AX$8:$AX41,"&lt;&gt;"&amp;BP$3),0)</f>
        <v>0</v>
      </c>
      <c r="BQ41" s="788" t="str">
        <f t="shared" si="44"/>
        <v/>
      </c>
      <c r="BR41" s="247">
        <f>IF($AX41=BR$3,COUNTIF($AX$8:$AX41,BR$3),0)</f>
        <v>0</v>
      </c>
      <c r="BS41" s="788" t="str">
        <f t="shared" si="45"/>
        <v/>
      </c>
      <c r="BT41" s="312"/>
      <c r="BU41" s="312"/>
    </row>
    <row r="42" spans="1:73" ht="24.95" customHeight="1">
      <c r="A42" s="2656"/>
      <c r="B42" s="2827" t="s">
        <v>334</v>
      </c>
      <c r="C42" s="2665"/>
      <c r="D42" s="2731" t="str">
        <f t="shared" ref="D42" si="48">IF(W42,T42,"")</f>
        <v>事務員</v>
      </c>
      <c r="E42" s="2743"/>
      <c r="F42" s="3000" t="str">
        <f>IF(R42=1,"本園：常勤１名+非常勤１名(週2日分)"&amp;IF(B8&gt;=91,"+非常勤１名","")&amp;IF(C20&gt;0,"／分園：常勤１名＋非常勤１名(週２日分)(又は本・分園併せて常勤３名"&amp;IF(B8&gt;=91,"＋非常勤１名","")&amp;"）",""),IF(R42=2,"本園：兼務１名"&amp;IF(C20&gt;0,"／分園：兼務１名",""),IF(R42=3,"業務委託","エラー：個票0を見直すこと")))</f>
        <v>本園：兼務１名</v>
      </c>
      <c r="G42" s="3001"/>
      <c r="H42" s="3001"/>
      <c r="I42" s="3001"/>
      <c r="J42" s="3001"/>
      <c r="K42" s="3002"/>
      <c r="L42" s="793" t="s">
        <v>1025</v>
      </c>
      <c r="M42" s="794" t="s">
        <v>1025</v>
      </c>
      <c r="N42" s="973" t="str">
        <f t="shared" si="31"/>
        <v>○</v>
      </c>
      <c r="O42" s="2661" t="str">
        <f>IF(Q42,IF(S42,"○","×"),"-")</f>
        <v>×</v>
      </c>
      <c r="P42" s="436"/>
      <c r="Q42" s="463" t="b">
        <f>TRUE()</f>
        <v>1</v>
      </c>
      <c r="R42" s="446">
        <f>IF(【様式１】総括表・個票!AI73,1,IF(【様式１】総括表・個票!AI74,2,IF(【様式１】総括表・個票!AI75,3,0)))</f>
        <v>2</v>
      </c>
      <c r="S42" s="445" t="b">
        <f>AND($O$155&gt;=0,IF(Q43,S43,TRUE),IF(Q44,S44,TRUE),IF(Q45,S45,TRUE),IF(Q46,S46,TRUE),IF(Q47,S47,TRUE),IF(Q48,S48,TRUE),IF(Q49,S49,TRUE),IF(Q50,S50,TRUE),OR(Q43,Q44,Q45,Q46,Q47,Q48,Q49,Q50))</f>
        <v>0</v>
      </c>
      <c r="T42" s="446" t="str">
        <f>$BM$6</f>
        <v>事務員</v>
      </c>
      <c r="U42" s="797" t="s">
        <v>1032</v>
      </c>
      <c r="V42" s="446" t="s">
        <v>1032</v>
      </c>
      <c r="W42" s="446" t="b">
        <f>Q42</f>
        <v>1</v>
      </c>
      <c r="X42" s="439" t="s">
        <v>1032</v>
      </c>
      <c r="Y42" s="440" t="s">
        <v>1032</v>
      </c>
      <c r="Z42" s="976" t="s">
        <v>804</v>
      </c>
      <c r="AA42" s="976" t="s">
        <v>804</v>
      </c>
      <c r="AB42" s="976" t="s">
        <v>804</v>
      </c>
      <c r="AC42" s="976" t="s">
        <v>804</v>
      </c>
      <c r="AD42" s="972" t="s">
        <v>804</v>
      </c>
      <c r="AE42" s="455" t="s">
        <v>804</v>
      </c>
      <c r="AF42" s="456" t="s">
        <v>804</v>
      </c>
      <c r="AG42" s="446" t="s">
        <v>804</v>
      </c>
      <c r="AH42" s="446" t="s">
        <v>804</v>
      </c>
      <c r="AI42" s="446" t="s">
        <v>804</v>
      </c>
      <c r="AJ42" s="248" t="s">
        <v>804</v>
      </c>
      <c r="AK42" s="249" t="s">
        <v>804</v>
      </c>
      <c r="AQ42" s="461"/>
      <c r="AR42" s="461"/>
      <c r="AS42" s="461"/>
      <c r="AT42" s="461"/>
      <c r="AU42" s="247">
        <f t="shared" si="1"/>
        <v>35</v>
      </c>
      <c r="AV42" s="170" t="str">
        <f>AU42&amp;" "&amp;IF(AX42&lt;&gt;"-",'【様式2】職員名簿 '!B78&amp;"/"&amp;AW42&amp;"/"&amp;AX42,"")</f>
        <v xml:space="preserve">35 </v>
      </c>
      <c r="AW42" s="170">
        <f>'【様式2】職員名簿 '!F78</f>
        <v>0</v>
      </c>
      <c r="AX42" s="170" t="str">
        <f>IF('【様式2】職員名簿 '!K78="エラー","-",IF(AND('【様式2】職員名簿 '!C78=$AX$3,'【様式2】職員名簿 '!K78=$AX$4),$AX$3,'【様式2】職員名簿 '!K78))</f>
        <v>-</v>
      </c>
      <c r="AY42" s="783">
        <f>IF($AW42="常勤",$AN$2,IF($AW42="非常勤",'【様式2】職員名簿 '!H78,0))</f>
        <v>0</v>
      </c>
      <c r="AZ42" s="406">
        <f>IF($AX42=AZ$3,COUNTIF($AX$8:$AX42,AZ$3),0)</f>
        <v>0</v>
      </c>
      <c r="BA42" s="788" t="str">
        <f t="shared" si="36"/>
        <v/>
      </c>
      <c r="BB42" s="247">
        <f>IF(OR($AX42=BB$3,$AX42=BB$4),COUNTIF($AX$8:$AX42,BB$3)+COUNTIF($AX$8:$AX42,BB$4),0)</f>
        <v>0</v>
      </c>
      <c r="BC42" s="788" t="str">
        <f t="shared" si="37"/>
        <v/>
      </c>
      <c r="BD42" s="407">
        <f>IF(OR($AX42=$BD$4,$AX42=BD$3),COUNTIFS($AX$8:$AX42,BD$3,$AW$8:$AW42,BD$5)+COUNTIFS($AX$8:$AX42,BD$4,$AW$8:$AW42,BD$5),0)</f>
        <v>0</v>
      </c>
      <c r="BE42" s="788" t="str">
        <f t="shared" si="38"/>
        <v/>
      </c>
      <c r="BF42" s="248">
        <f>IF($AX42=BF$3,COUNTIF($AX$8:$AX42,BF$3),0)</f>
        <v>0</v>
      </c>
      <c r="BG42" s="788" t="str">
        <f t="shared" si="39"/>
        <v/>
      </c>
      <c r="BH42" s="247">
        <f>IF(OR($AX42=BH$3,$AX42=BH$4),COUNTIF($AX$8:$AX42,BH$3)+COUNTIF($AX$8:$AX42,BH$4),0)</f>
        <v>0</v>
      </c>
      <c r="BI42" s="788" t="str">
        <f t="shared" si="40"/>
        <v/>
      </c>
      <c r="BJ42" s="247">
        <f>IF($AX42=BJ$4,COUNTIFS($AW$8:$AW42,BJ$3,$AX$8:$AX42,BJ$4),0)</f>
        <v>0</v>
      </c>
      <c r="BK42" s="788" t="str">
        <f t="shared" si="41"/>
        <v/>
      </c>
      <c r="BL42" s="247">
        <f>IF($AX42=BL$3,COUNTIF($AX$8:$AX42,BL$3),0)</f>
        <v>0</v>
      </c>
      <c r="BM42" s="788" t="str">
        <f t="shared" si="42"/>
        <v/>
      </c>
      <c r="BN42" s="247">
        <f>IF($AX42=BN$3,COUNTIF($AX$8:$AX42,BN$3),0)</f>
        <v>0</v>
      </c>
      <c r="BO42" s="788" t="str">
        <f t="shared" si="43"/>
        <v/>
      </c>
      <c r="BP42" s="247">
        <f>IF($AX42&lt;&gt;BP$3,COUNTIF($AX$8:$AX42,"&lt;&gt;"&amp;BP$3),0)</f>
        <v>0</v>
      </c>
      <c r="BQ42" s="788" t="str">
        <f t="shared" si="44"/>
        <v/>
      </c>
      <c r="BR42" s="247">
        <f>IF($AX42=BR$3,COUNTIF($AX$8:$AX42,BR$3),0)</f>
        <v>0</v>
      </c>
      <c r="BS42" s="788" t="str">
        <f t="shared" si="45"/>
        <v/>
      </c>
      <c r="BT42" s="312"/>
      <c r="BU42" s="312"/>
    </row>
    <row r="43" spans="1:73" ht="15" customHeight="1">
      <c r="A43" s="2656"/>
      <c r="B43" s="2828"/>
      <c r="C43" s="2666"/>
      <c r="D43" s="2870" t="str">
        <f>IF(R42=1,"常勤事務＋事務",IF(R42=2,"兼務",IF(R42=3,"委託","エラー")))</f>
        <v>兼務</v>
      </c>
      <c r="E43" s="801" t="str">
        <f t="shared" ref="E43:E50" si="49">IF(W43,T43,"")</f>
        <v/>
      </c>
      <c r="F43" s="2678"/>
      <c r="G43" s="2741"/>
      <c r="H43" s="2741"/>
      <c r="I43" s="890" t="str">
        <f t="shared" si="32"/>
        <v/>
      </c>
      <c r="J43" s="447" t="str">
        <f t="shared" ref="J43:J53" si="50">IF(OR(F43=0,F43=""),"",IF(W43,IF(X43,IF(OR(Y43,V43=3),IF(AE43,IF(OR(AF43,V43=2,V43=3),"○","要常勤"),"時間無"),"重複"),"名簿無"),"対象外"))</f>
        <v/>
      </c>
      <c r="K43" s="801" t="s">
        <v>973</v>
      </c>
      <c r="L43" s="448" t="str">
        <f t="shared" ref="L43:L50" si="51">IF(AJ43=1,"調整①→",IF(AJ43=5,"調整②→",IF(AJ43=2,"",IF(AJ43=3,"全計上→","エラー"))))</f>
        <v/>
      </c>
      <c r="M43" s="483">
        <f>IF(OR(AND(J43&lt;&gt;"",J43&lt;&gt;"○"),AJ43=4),"×",IF(J43="",0,AK43/$AN$2))</f>
        <v>0</v>
      </c>
      <c r="N43" s="450" t="str">
        <f t="shared" si="31"/>
        <v>×</v>
      </c>
      <c r="O43" s="2662"/>
      <c r="P43" s="436"/>
      <c r="Q43" s="463" t="b">
        <f>AND(Q42,R43)</f>
        <v>0</v>
      </c>
      <c r="R43" s="739" t="b">
        <f>R42=1</f>
        <v>0</v>
      </c>
      <c r="S43" s="446" t="b">
        <f t="shared" ref="S43:S50" si="52">AND(J43="○",$O$189&gt;=0)</f>
        <v>0</v>
      </c>
      <c r="T43" s="446" t="str">
        <f>$BK$6</f>
        <v>常勤事務員</v>
      </c>
      <c r="U43" s="407">
        <f t="shared" ref="U43:U49" si="53">IFERROR(VLOOKUP($F43,$AV$8:$AY$108,4,FALSE),0)</f>
        <v>0</v>
      </c>
      <c r="V43" s="446">
        <v>1</v>
      </c>
      <c r="W43" s="446" t="b">
        <f>R43</f>
        <v>0</v>
      </c>
      <c r="X43" s="439" t="b">
        <f t="shared" ca="1" si="33"/>
        <v>0</v>
      </c>
      <c r="Y43" s="440" t="b">
        <f>COUNTIF($AD$30:AD42,AD43)+COUNTIF(AD44:$AD$147,AD43)-COUNTIF(Z43:AC43,AD43)=0</f>
        <v>0</v>
      </c>
      <c r="Z43" s="976" t="s">
        <v>804</v>
      </c>
      <c r="AA43" s="976" t="s">
        <v>804</v>
      </c>
      <c r="AB43" s="976" t="s">
        <v>804</v>
      </c>
      <c r="AC43" s="976" t="s">
        <v>804</v>
      </c>
      <c r="AD43" s="972">
        <f>IF(V43=3,0,IFERROR(INDEX($AU$8:$AU$106,MATCH($F43,AV$8:AV$106,0),1),0))</f>
        <v>0</v>
      </c>
      <c r="AE43" s="248" t="b">
        <f t="shared" si="34"/>
        <v>0</v>
      </c>
      <c r="AF43" s="783" t="b">
        <f t="shared" ref="AF43:AF76" si="54">IFERROR(VLOOKUP($F43,$AV$8:$AY$108,2,FALSE),"")="常勤"</f>
        <v>0</v>
      </c>
      <c r="AG43" s="446" t="s">
        <v>804</v>
      </c>
      <c r="AH43" s="446" t="s">
        <v>804</v>
      </c>
      <c r="AI43" s="446">
        <v>1</v>
      </c>
      <c r="AJ43" s="248">
        <f>IF(AND($W43,$J43="○"),IF($K43="-",IF($U43&lt;IF($AI43=5,$AM$4,$AM$3),$AI43,2),IF($K43=0,IF($U43&lt;IF($AI43=5,$AM$4,$AM$3),IF(OR($AI43=1,$AI43=5),$AI43,3),3),IF(K43&lt;IF($AI43=5,$AM$4,$AM$3),$AI43,IF($K43&gt;$U43,4,2)))),2)</f>
        <v>2</v>
      </c>
      <c r="AK43" s="249">
        <f t="shared" si="35"/>
        <v>0</v>
      </c>
      <c r="AQ43" s="461"/>
      <c r="AU43" s="247">
        <f t="shared" si="1"/>
        <v>36</v>
      </c>
      <c r="AV43" s="170" t="str">
        <f>AU43&amp;" "&amp;IF(AX43&lt;&gt;"-",'【様式2】職員名簿 '!B79&amp;"/"&amp;AW43&amp;"/"&amp;AX43,"")</f>
        <v xml:space="preserve">36 </v>
      </c>
      <c r="AW43" s="170">
        <f>'【様式2】職員名簿 '!F79</f>
        <v>0</v>
      </c>
      <c r="AX43" s="170" t="str">
        <f>IF('【様式2】職員名簿 '!K79="エラー","-",IF(AND('【様式2】職員名簿 '!C79=$AX$3,'【様式2】職員名簿 '!K79=$AX$4),$AX$3,'【様式2】職員名簿 '!K79))</f>
        <v>-</v>
      </c>
      <c r="AY43" s="783">
        <f>IF($AW43="常勤",$AN$2,IF($AW43="非常勤",'【様式2】職員名簿 '!H79,0))</f>
        <v>0</v>
      </c>
      <c r="AZ43" s="406">
        <f>IF($AX43=AZ$3,COUNTIF($AX$8:$AX43,AZ$3),0)</f>
        <v>0</v>
      </c>
      <c r="BA43" s="788" t="str">
        <f t="shared" si="36"/>
        <v/>
      </c>
      <c r="BB43" s="247">
        <f>IF(OR($AX43=BB$3,$AX43=BB$4),COUNTIF($AX$8:$AX43,BB$3)+COUNTIF($AX$8:$AX43,BB$4),0)</f>
        <v>0</v>
      </c>
      <c r="BC43" s="788" t="str">
        <f t="shared" si="37"/>
        <v/>
      </c>
      <c r="BD43" s="407">
        <f>IF(OR($AX43=$BD$4,$AX43=BD$3),COUNTIFS($AX$8:$AX43,BD$3,$AW$8:$AW43,BD$5)+COUNTIFS($AX$8:$AX43,BD$4,$AW$8:$AW43,BD$5),0)</f>
        <v>0</v>
      </c>
      <c r="BE43" s="788" t="str">
        <f t="shared" si="38"/>
        <v/>
      </c>
      <c r="BF43" s="248">
        <f>IF($AX43=BF$3,COUNTIF($AX$8:$AX43,BF$3),0)</f>
        <v>0</v>
      </c>
      <c r="BG43" s="788" t="str">
        <f t="shared" si="39"/>
        <v/>
      </c>
      <c r="BH43" s="247">
        <f>IF(OR($AX43=BH$3,$AX43=BH$4),COUNTIF($AX$8:$AX43,BH$3)+COUNTIF($AX$8:$AX43,BH$4),0)</f>
        <v>0</v>
      </c>
      <c r="BI43" s="788" t="str">
        <f t="shared" si="40"/>
        <v/>
      </c>
      <c r="BJ43" s="247">
        <f>IF($AX43=BJ$4,COUNTIFS($AW$8:$AW43,BJ$3,$AX$8:$AX43,BJ$4),0)</f>
        <v>0</v>
      </c>
      <c r="BK43" s="788" t="str">
        <f t="shared" si="41"/>
        <v/>
      </c>
      <c r="BL43" s="247">
        <f>IF($AX43=BL$3,COUNTIF($AX$8:$AX43,BL$3),0)</f>
        <v>0</v>
      </c>
      <c r="BM43" s="788" t="str">
        <f t="shared" si="42"/>
        <v/>
      </c>
      <c r="BN43" s="247">
        <f>IF($AX43=BN$3,COUNTIF($AX$8:$AX43,BN$3),0)</f>
        <v>0</v>
      </c>
      <c r="BO43" s="788" t="str">
        <f t="shared" si="43"/>
        <v/>
      </c>
      <c r="BP43" s="247">
        <f>IF($AX43&lt;&gt;BP$3,COUNTIF($AX$8:$AX43,"&lt;&gt;"&amp;BP$3),0)</f>
        <v>0</v>
      </c>
      <c r="BQ43" s="788" t="str">
        <f t="shared" si="44"/>
        <v/>
      </c>
      <c r="BR43" s="247">
        <f>IF($AX43=BR$3,COUNTIF($AX$8:$AX43,BR$3),0)</f>
        <v>0</v>
      </c>
      <c r="BS43" s="788" t="str">
        <f t="shared" si="45"/>
        <v/>
      </c>
      <c r="BT43" s="312"/>
      <c r="BU43" s="312"/>
    </row>
    <row r="44" spans="1:73" ht="15" customHeight="1">
      <c r="A44" s="2656"/>
      <c r="B44" s="2828"/>
      <c r="C44" s="2666"/>
      <c r="D44" s="2870"/>
      <c r="E44" s="987" t="str">
        <f t="shared" si="49"/>
        <v/>
      </c>
      <c r="F44" s="2752"/>
      <c r="G44" s="2753"/>
      <c r="H44" s="2753"/>
      <c r="I44" s="891" t="str">
        <f t="shared" ref="I44:I46" si="55">IF(OR(NOT(W44),U44=0),"","【"&amp;U44&amp;"h】")</f>
        <v/>
      </c>
      <c r="J44" s="757" t="str">
        <f t="shared" ref="J44:J46" si="56">IF(OR(F44=0,F44=""),"",IF(W44,IF(X44,IF(OR(Y44,V44=3),IF(AE44,IF(OR(AF44,V44=2,V44=3),"○","要常勤"),"時間無"),"重複"),"名簿無"),"対象外"))</f>
        <v/>
      </c>
      <c r="K44" s="993" t="s">
        <v>973</v>
      </c>
      <c r="L44" s="492" t="str">
        <f t="shared" ref="L44:L46" si="57">IF(AJ44=1,"調整①→",IF(AJ44=5,"調整②→",IF(AJ44=2,"",IF(AJ44=3,"全計上→","エラー"))))</f>
        <v/>
      </c>
      <c r="M44" s="453">
        <f t="shared" ref="M44:M49" si="58">IF(OR(AND(J44&lt;&gt;"",J44&lt;&gt;"○"),AJ44=4),"×",IF(J44="",0,AK44/$AN$2))</f>
        <v>0</v>
      </c>
      <c r="N44" s="450" t="str">
        <f t="shared" si="31"/>
        <v>×</v>
      </c>
      <c r="O44" s="2662"/>
      <c r="P44" s="436"/>
      <c r="Q44" s="463" t="b">
        <f>AND(Q42,R44)</f>
        <v>0</v>
      </c>
      <c r="R44" s="739" t="b">
        <f>AND(R42=1,B8&gt;=91,NOT(AF45))</f>
        <v>0</v>
      </c>
      <c r="S44" s="446" t="b">
        <f t="shared" si="52"/>
        <v>0</v>
      </c>
      <c r="T44" s="446" t="str">
        <f>$BM$6</f>
        <v>事務員</v>
      </c>
      <c r="U44" s="407">
        <f t="shared" si="53"/>
        <v>0</v>
      </c>
      <c r="V44" s="446">
        <v>2</v>
      </c>
      <c r="W44" s="446" t="b">
        <f>R44</f>
        <v>0</v>
      </c>
      <c r="X44" s="439" t="b">
        <f t="shared" ref="X44:X46" ca="1" si="59">COUNTIF(INDIRECT(T44),F44)&gt;0</f>
        <v>0</v>
      </c>
      <c r="Y44" s="440" t="b">
        <f>COUNTIF($AD$30:AD43,AD44)+COUNTIF(AD45:$AD$147,AD44)-COUNTIF(Z44:AC44,AD44)=0</f>
        <v>0</v>
      </c>
      <c r="Z44" s="976" t="s">
        <v>804</v>
      </c>
      <c r="AA44" s="976" t="s">
        <v>804</v>
      </c>
      <c r="AB44" s="976" t="s">
        <v>804</v>
      </c>
      <c r="AC44" s="976" t="s">
        <v>804</v>
      </c>
      <c r="AD44" s="972">
        <f>IF(V44=3,0,IFERROR(INDEX($AU$8:$AU$106,MATCH($F44,AV$8:AV$106,0),1),0))</f>
        <v>0</v>
      </c>
      <c r="AE44" s="248" t="b">
        <f t="shared" ref="AE44:AE46" si="60">U44&gt;0</f>
        <v>0</v>
      </c>
      <c r="AF44" s="783" t="b">
        <f t="shared" si="54"/>
        <v>0</v>
      </c>
      <c r="AG44" s="446" t="s">
        <v>804</v>
      </c>
      <c r="AH44" s="446" t="s">
        <v>804</v>
      </c>
      <c r="AI44" s="446">
        <v>1</v>
      </c>
      <c r="AJ44" s="248">
        <f t="shared" ref="AJ44:AJ46" si="61">IF(AND($W44,$J44="○"),IF($K44="-",IF($U44&lt;IF($AI44=5,$AM$4,$AM$3),$AI44,2),IF($K44=0,IF($U44&lt;IF($AI44=5,$AM$4,$AM$3),IF(OR($AI44=1,$AI44=5),$AI44,3),3),IF(K44&lt;IF($AI44=5,$AM$4,$AM$3),$AI44,IF($K44&gt;$U44,4,2)))),2)</f>
        <v>2</v>
      </c>
      <c r="AK44" s="249">
        <f t="shared" ref="AK44:AK46" si="62">IF(AJ44=1,$AM$3,IF(AJ44=5,$AM$4,IF(AJ44=2,IF(K44="-",U44,K44),IF(AJ44=3,U44,"×"))))</f>
        <v>0</v>
      </c>
      <c r="AQ44" s="461"/>
      <c r="AU44" s="247">
        <f t="shared" si="1"/>
        <v>37</v>
      </c>
      <c r="AV44" s="170" t="str">
        <f>AU44&amp;" "&amp;IF(AX44&lt;&gt;"-",'【様式2】職員名簿 '!B80&amp;"/"&amp;AW44&amp;"/"&amp;AX44,"")</f>
        <v xml:space="preserve">37 </v>
      </c>
      <c r="AW44" s="170">
        <f>'【様式2】職員名簿 '!F80</f>
        <v>0</v>
      </c>
      <c r="AX44" s="170" t="str">
        <f>IF('【様式2】職員名簿 '!K80="エラー","-",IF(AND('【様式2】職員名簿 '!C80=$AX$3,'【様式2】職員名簿 '!K80=$AX$4),$AX$3,'【様式2】職員名簿 '!K80))</f>
        <v>-</v>
      </c>
      <c r="AY44" s="783">
        <f>IF($AW44="常勤",$AN$2,IF($AW44="非常勤",'【様式2】職員名簿 '!H80,0))</f>
        <v>0</v>
      </c>
      <c r="AZ44" s="406">
        <f>IF($AX44=AZ$3,COUNTIF($AX$8:$AX44,AZ$3),0)</f>
        <v>0</v>
      </c>
      <c r="BA44" s="788" t="str">
        <f t="shared" si="36"/>
        <v/>
      </c>
      <c r="BB44" s="247">
        <f>IF(OR($AX44=BB$3,$AX44=BB$4),COUNTIF($AX$8:$AX44,BB$3)+COUNTIF($AX$8:$AX44,BB$4),0)</f>
        <v>0</v>
      </c>
      <c r="BC44" s="788" t="str">
        <f t="shared" si="37"/>
        <v/>
      </c>
      <c r="BD44" s="407">
        <f>IF(OR($AX44=$BD$4,$AX44=BD$3),COUNTIFS($AX$8:$AX44,BD$3,$AW$8:$AW44,BD$5)+COUNTIFS($AX$8:$AX44,BD$4,$AW$8:$AW44,BD$5),0)</f>
        <v>0</v>
      </c>
      <c r="BE44" s="788" t="str">
        <f t="shared" si="38"/>
        <v/>
      </c>
      <c r="BF44" s="248">
        <f>IF($AX44=BF$3,COUNTIF($AX$8:$AX44,BF$3),0)</f>
        <v>0</v>
      </c>
      <c r="BG44" s="788" t="str">
        <f t="shared" si="39"/>
        <v/>
      </c>
      <c r="BH44" s="247">
        <f>IF(OR($AX44=BH$3,$AX44=BH$4),COUNTIF($AX$8:$AX44,BH$3)+COUNTIF($AX$8:$AX44,BH$4),0)</f>
        <v>0</v>
      </c>
      <c r="BI44" s="788" t="str">
        <f t="shared" si="40"/>
        <v/>
      </c>
      <c r="BJ44" s="247">
        <f>IF($AX44=BJ$4,COUNTIFS($AW$8:$AW44,BJ$3,$AX$8:$AX44,BJ$4),0)</f>
        <v>0</v>
      </c>
      <c r="BK44" s="788" t="str">
        <f t="shared" si="41"/>
        <v/>
      </c>
      <c r="BL44" s="247">
        <f>IF($AX44=BL$3,COUNTIF($AX$8:$AX44,BL$3),0)</f>
        <v>0</v>
      </c>
      <c r="BM44" s="788" t="str">
        <f t="shared" si="42"/>
        <v/>
      </c>
      <c r="BN44" s="247">
        <f>IF($AX44=BN$3,COUNTIF($AX$8:$AX44,BN$3),0)</f>
        <v>0</v>
      </c>
      <c r="BO44" s="788" t="str">
        <f t="shared" si="43"/>
        <v/>
      </c>
      <c r="BP44" s="247">
        <f>IF($AX44&lt;&gt;BP$3,COUNTIF($AX$8:$AX44,"&lt;&gt;"&amp;BP$3),0)</f>
        <v>0</v>
      </c>
      <c r="BQ44" s="788" t="str">
        <f t="shared" si="44"/>
        <v/>
      </c>
      <c r="BR44" s="247">
        <f>IF($AX44=BR$3,COUNTIF($AX$8:$AX44,BR$3),0)</f>
        <v>0</v>
      </c>
      <c r="BS44" s="788" t="str">
        <f t="shared" si="45"/>
        <v/>
      </c>
      <c r="BT44" s="312"/>
      <c r="BU44" s="312"/>
    </row>
    <row r="45" spans="1:73" ht="15" customHeight="1">
      <c r="A45" s="2656"/>
      <c r="B45" s="2828"/>
      <c r="C45" s="2666"/>
      <c r="D45" s="2870"/>
      <c r="E45" s="471" t="str">
        <f>IF(W45,T45&amp;"(週2日)","")</f>
        <v/>
      </c>
      <c r="F45" s="2678"/>
      <c r="G45" s="2741"/>
      <c r="H45" s="2865"/>
      <c r="I45" s="890" t="str">
        <f t="shared" ref="I45" si="63">IF(OR(NOT(W45),U45=0),"","【"&amp;U45&amp;"h】")</f>
        <v/>
      </c>
      <c r="J45" s="464" t="str">
        <f t="shared" ref="J45" si="64">IF(OR(F45=0,F45=""),"",IF(W45,IF(X45,IF(OR(Y45,V45=3),IF(AE45,IF(OR(AF45,V45=2,V45=3),"○","要常勤"),"時間無"),"重複"),"名簿無"),"対象外"))</f>
        <v/>
      </c>
      <c r="K45" s="801" t="s">
        <v>750</v>
      </c>
      <c r="L45" s="472" t="str">
        <f t="shared" ref="L45" si="65">IF(AJ45=1,"調整①→",IF(AJ45=5,"調整②→",IF(AJ45=2,"",IF(AJ45=3,"全計上→","エラー"))))</f>
        <v/>
      </c>
      <c r="M45" s="466">
        <f t="shared" si="58"/>
        <v>0</v>
      </c>
      <c r="N45" s="467" t="str">
        <f t="shared" si="31"/>
        <v>×</v>
      </c>
      <c r="O45" s="2662"/>
      <c r="P45" s="436"/>
      <c r="Q45" s="463" t="b">
        <f>AND(Q41,R45)</f>
        <v>0</v>
      </c>
      <c r="R45" s="739" t="b">
        <f>AND(R42=1,NOT(AF44))</f>
        <v>0</v>
      </c>
      <c r="S45" s="446" t="b">
        <f t="shared" si="52"/>
        <v>0</v>
      </c>
      <c r="T45" s="446" t="str">
        <f>$BM$6</f>
        <v>事務員</v>
      </c>
      <c r="U45" s="407">
        <f t="shared" si="53"/>
        <v>0</v>
      </c>
      <c r="V45" s="446">
        <v>2</v>
      </c>
      <c r="W45" s="446" t="b">
        <f t="shared" ref="W45" si="66">R45</f>
        <v>0</v>
      </c>
      <c r="X45" s="439" t="b">
        <f t="shared" ref="X45" ca="1" si="67">COUNTIF(INDIRECT(T45),F45)&gt;0</f>
        <v>0</v>
      </c>
      <c r="Y45" s="440" t="b">
        <f>COUNTIF($AD$30:AD44,AD45)+COUNTIF(AD46:$AD$147,AD45)-COUNTIF(Z45:AC45,AD45)=0</f>
        <v>0</v>
      </c>
      <c r="Z45" s="976" t="s">
        <v>804</v>
      </c>
      <c r="AA45" s="976" t="s">
        <v>804</v>
      </c>
      <c r="AB45" s="976" t="s">
        <v>804</v>
      </c>
      <c r="AC45" s="976" t="s">
        <v>804</v>
      </c>
      <c r="AD45" s="454">
        <f t="shared" ref="AD45" si="68">IF(V45=3,0,IFERROR(INDEX($AU$8:$AU$106,MATCH($F45,AV$8:AV$106,0),1),0))</f>
        <v>0</v>
      </c>
      <c r="AE45" s="248" t="b">
        <f t="shared" ref="AE45" si="69">U45&gt;0</f>
        <v>0</v>
      </c>
      <c r="AF45" s="783" t="b">
        <f t="shared" si="54"/>
        <v>0</v>
      </c>
      <c r="AG45" s="446" t="s">
        <v>1034</v>
      </c>
      <c r="AH45" s="473" t="s">
        <v>1035</v>
      </c>
      <c r="AI45" s="446">
        <v>5</v>
      </c>
      <c r="AJ45" s="248">
        <f>IF(AND($W45,$J45="○"),IF($K45="-",IF($U45&lt;IF($AI45=5,$AM$4,$AM$3),$AI45,2),IF($K45=0,IF($U45&lt;IF($AI45=5,$AM$4,$AM$3),IF(OR($AI45=1,$AI45=5),$AI45,3),3),IF(K45&lt;IF($AI45=5,$AM$4,$AM$3),$AI45,IF($K45&gt;$U45,4,2)))),2)</f>
        <v>2</v>
      </c>
      <c r="AK45" s="249">
        <f t="shared" ref="AK45" si="70">IF(AJ45=1,$AM$3,IF(AJ45=5,$AM$4,IF(AJ45=2,IF(K45="-",U45,K45),IF(AJ45=3,U45,"×"))))</f>
        <v>0</v>
      </c>
      <c r="AQ45" s="461"/>
      <c r="AU45" s="247">
        <f t="shared" si="1"/>
        <v>38</v>
      </c>
      <c r="AV45" s="170" t="str">
        <f>AU45&amp;" "&amp;IF(AX45&lt;&gt;"-",'【様式2】職員名簿 '!B81&amp;"/"&amp;AW45&amp;"/"&amp;AX45,"")</f>
        <v xml:space="preserve">38 </v>
      </c>
      <c r="AW45" s="170">
        <f>'【様式2】職員名簿 '!F81</f>
        <v>0</v>
      </c>
      <c r="AX45" s="170" t="str">
        <f>IF('【様式2】職員名簿 '!K81="エラー","-",IF(AND('【様式2】職員名簿 '!C81=$AX$3,'【様式2】職員名簿 '!K81=$AX$4),$AX$3,'【様式2】職員名簿 '!K81))</f>
        <v>-</v>
      </c>
      <c r="AY45" s="783">
        <f>IF($AW45="常勤",$AN$2,IF($AW45="非常勤",'【様式2】職員名簿 '!H81,0))</f>
        <v>0</v>
      </c>
      <c r="AZ45" s="406">
        <f>IF($AX45=AZ$3,COUNTIF($AX$8:$AX45,AZ$3),0)</f>
        <v>0</v>
      </c>
      <c r="BA45" s="788" t="str">
        <f t="shared" si="36"/>
        <v/>
      </c>
      <c r="BB45" s="247">
        <f>IF(OR($AX45=BB$3,$AX45=BB$4),COUNTIF($AX$8:$AX45,BB$3)+COUNTIF($AX$8:$AX45,BB$4),0)</f>
        <v>0</v>
      </c>
      <c r="BC45" s="788" t="str">
        <f t="shared" si="37"/>
        <v/>
      </c>
      <c r="BD45" s="407">
        <f>IF(OR($AX45=$BD$4,$AX45=BD$3),COUNTIFS($AX$8:$AX45,BD$3,$AW$8:$AW45,BD$5)+COUNTIFS($AX$8:$AX45,BD$4,$AW$8:$AW45,BD$5),0)</f>
        <v>0</v>
      </c>
      <c r="BE45" s="788" t="str">
        <f t="shared" si="38"/>
        <v/>
      </c>
      <c r="BF45" s="248">
        <f>IF($AX45=BF$3,COUNTIF($AX$8:$AX45,BF$3),0)</f>
        <v>0</v>
      </c>
      <c r="BG45" s="788" t="str">
        <f t="shared" si="39"/>
        <v/>
      </c>
      <c r="BH45" s="247">
        <f>IF(OR($AX45=BH$3,$AX45=BH$4),COUNTIF($AX$8:$AX45,BH$3)+COUNTIF($AX$8:$AX45,BH$4),0)</f>
        <v>0</v>
      </c>
      <c r="BI45" s="788" t="str">
        <f t="shared" si="40"/>
        <v/>
      </c>
      <c r="BJ45" s="247">
        <f>IF($AX45=BJ$4,COUNTIFS($AW$8:$AW45,BJ$3,$AX$8:$AX45,BJ$4),0)</f>
        <v>0</v>
      </c>
      <c r="BK45" s="788" t="str">
        <f t="shared" si="41"/>
        <v/>
      </c>
      <c r="BL45" s="247">
        <f>IF($AX45=BL$3,COUNTIF($AX$8:$AX45,BL$3),0)</f>
        <v>0</v>
      </c>
      <c r="BM45" s="788" t="str">
        <f t="shared" si="42"/>
        <v/>
      </c>
      <c r="BN45" s="247">
        <f>IF($AX45=BN$3,COUNTIF($AX$8:$AX45,BN$3),0)</f>
        <v>0</v>
      </c>
      <c r="BO45" s="788" t="str">
        <f t="shared" si="43"/>
        <v/>
      </c>
      <c r="BP45" s="247">
        <f>IF($AX45&lt;&gt;BP$3,COUNTIF($AX$8:$AX45,"&lt;&gt;"&amp;BP$3),0)</f>
        <v>0</v>
      </c>
      <c r="BQ45" s="788" t="str">
        <f t="shared" si="44"/>
        <v/>
      </c>
      <c r="BR45" s="247">
        <f>IF($AX45=BR$3,COUNTIF($AX$8:$AX45,BR$3),0)</f>
        <v>0</v>
      </c>
      <c r="BS45" s="788" t="str">
        <f t="shared" si="45"/>
        <v/>
      </c>
      <c r="BT45" s="312"/>
      <c r="BU45" s="312"/>
    </row>
    <row r="46" spans="1:73" ht="15" customHeight="1">
      <c r="A46" s="2656"/>
      <c r="B46" s="2828"/>
      <c r="C46" s="2666"/>
      <c r="D46" s="2870"/>
      <c r="E46" s="471" t="str">
        <f t="shared" si="49"/>
        <v/>
      </c>
      <c r="F46" s="2754"/>
      <c r="G46" s="2755"/>
      <c r="H46" s="2755"/>
      <c r="I46" s="889" t="str">
        <f t="shared" si="55"/>
        <v/>
      </c>
      <c r="J46" s="464" t="str">
        <f t="shared" si="56"/>
        <v/>
      </c>
      <c r="K46" s="801" t="s">
        <v>750</v>
      </c>
      <c r="L46" s="472" t="str">
        <f t="shared" si="57"/>
        <v/>
      </c>
      <c r="M46" s="466">
        <f t="shared" si="58"/>
        <v>0</v>
      </c>
      <c r="N46" s="467" t="str">
        <f t="shared" si="31"/>
        <v>×</v>
      </c>
      <c r="O46" s="2662"/>
      <c r="P46" s="436"/>
      <c r="Q46" s="463" t="b">
        <f>AND(Q42,R46)</f>
        <v>0</v>
      </c>
      <c r="R46" s="739" t="b">
        <f>AND(R42=1,C20&gt;0)</f>
        <v>0</v>
      </c>
      <c r="S46" s="446" t="b">
        <f t="shared" si="52"/>
        <v>0</v>
      </c>
      <c r="T46" s="446" t="str">
        <f>$BK$6</f>
        <v>常勤事務員</v>
      </c>
      <c r="U46" s="407">
        <f t="shared" si="53"/>
        <v>0</v>
      </c>
      <c r="V46" s="446">
        <v>1</v>
      </c>
      <c r="W46" s="446" t="b">
        <f t="shared" ref="W46" si="71">R46</f>
        <v>0</v>
      </c>
      <c r="X46" s="439" t="b">
        <f t="shared" ca="1" si="59"/>
        <v>0</v>
      </c>
      <c r="Y46" s="440" t="b">
        <f>COUNTIF($AD$30:AD45,AD46)+COUNTIF(AD47:$AD$147,AD46)-COUNTIF(Z46:AC46,AD46)=0</f>
        <v>0</v>
      </c>
      <c r="Z46" s="976" t="s">
        <v>804</v>
      </c>
      <c r="AA46" s="976" t="s">
        <v>804</v>
      </c>
      <c r="AB46" s="976" t="s">
        <v>804</v>
      </c>
      <c r="AC46" s="976" t="s">
        <v>804</v>
      </c>
      <c r="AD46" s="454">
        <f>IF(V46=3,0,IFERROR(INDEX($AU$8:$AU$106,MATCH($F46,AV$8:AV$106,0),1),0))</f>
        <v>0</v>
      </c>
      <c r="AE46" s="248" t="b">
        <f t="shared" si="60"/>
        <v>0</v>
      </c>
      <c r="AF46" s="783" t="b">
        <f t="shared" si="54"/>
        <v>0</v>
      </c>
      <c r="AG46" s="446" t="s">
        <v>1034</v>
      </c>
      <c r="AH46" s="473" t="s">
        <v>1035</v>
      </c>
      <c r="AI46" s="446">
        <v>1</v>
      </c>
      <c r="AJ46" s="248">
        <f t="shared" si="61"/>
        <v>2</v>
      </c>
      <c r="AK46" s="249">
        <f t="shared" si="62"/>
        <v>0</v>
      </c>
      <c r="AQ46" s="461"/>
      <c r="AU46" s="247">
        <f t="shared" si="1"/>
        <v>39</v>
      </c>
      <c r="AV46" s="170" t="str">
        <f>AU46&amp;" "&amp;IF(AX46&lt;&gt;"-",'【様式2】職員名簿 '!B82&amp;"/"&amp;AW46&amp;"/"&amp;AX46,"")</f>
        <v xml:space="preserve">39 </v>
      </c>
      <c r="AW46" s="170">
        <f>'【様式2】職員名簿 '!F82</f>
        <v>0</v>
      </c>
      <c r="AX46" s="170" t="str">
        <f>IF('【様式2】職員名簿 '!K82="エラー","-",IF(AND('【様式2】職員名簿 '!C82=$AX$3,'【様式2】職員名簿 '!K82=$AX$4),$AX$3,'【様式2】職員名簿 '!K82))</f>
        <v>-</v>
      </c>
      <c r="AY46" s="783">
        <f>IF($AW46="常勤",$AN$2,IF($AW46="非常勤",'【様式2】職員名簿 '!H82,0))</f>
        <v>0</v>
      </c>
      <c r="AZ46" s="406">
        <f>IF($AX46=AZ$3,COUNTIF($AX$8:$AX46,AZ$3),0)</f>
        <v>0</v>
      </c>
      <c r="BA46" s="788" t="str">
        <f t="shared" si="36"/>
        <v/>
      </c>
      <c r="BB46" s="247">
        <f>IF(OR($AX46=BB$3,$AX46=BB$4),COUNTIF($AX$8:$AX46,BB$3)+COUNTIF($AX$8:$AX46,BB$4),0)</f>
        <v>0</v>
      </c>
      <c r="BC46" s="788" t="str">
        <f t="shared" si="37"/>
        <v/>
      </c>
      <c r="BD46" s="407">
        <f>IF(OR($AX46=$BD$4,$AX46=BD$3),COUNTIFS($AX$8:$AX46,BD$3,$AW$8:$AW46,BD$5)+COUNTIFS($AX$8:$AX46,BD$4,$AW$8:$AW46,BD$5),0)</f>
        <v>0</v>
      </c>
      <c r="BE46" s="788" t="str">
        <f t="shared" si="38"/>
        <v/>
      </c>
      <c r="BF46" s="248">
        <f>IF($AX46=BF$3,COUNTIF($AX$8:$AX46,BF$3),0)</f>
        <v>0</v>
      </c>
      <c r="BG46" s="788" t="str">
        <f t="shared" si="39"/>
        <v/>
      </c>
      <c r="BH46" s="247">
        <f>IF(OR($AX46=BH$3,$AX46=BH$4),COUNTIF($AX$8:$AX46,BH$3)+COUNTIF($AX$8:$AX46,BH$4),0)</f>
        <v>0</v>
      </c>
      <c r="BI46" s="788" t="str">
        <f t="shared" si="40"/>
        <v/>
      </c>
      <c r="BJ46" s="247">
        <f>IF($AX46=BJ$4,COUNTIFS($AW$8:$AW46,BJ$3,$AX$8:$AX46,BJ$4),0)</f>
        <v>0</v>
      </c>
      <c r="BK46" s="788" t="str">
        <f t="shared" si="41"/>
        <v/>
      </c>
      <c r="BL46" s="247">
        <f>IF($AX46=BL$3,COUNTIF($AX$8:$AX46,BL$3),0)</f>
        <v>0</v>
      </c>
      <c r="BM46" s="788" t="str">
        <f t="shared" si="42"/>
        <v/>
      </c>
      <c r="BN46" s="247">
        <f>IF($AX46=BN$3,COUNTIF($AX$8:$AX46,BN$3),0)</f>
        <v>0</v>
      </c>
      <c r="BO46" s="788" t="str">
        <f t="shared" si="43"/>
        <v/>
      </c>
      <c r="BP46" s="247">
        <f>IF($AX46&lt;&gt;BP$3,COUNTIF($AX$8:$AX46,"&lt;&gt;"&amp;BP$3),0)</f>
        <v>0</v>
      </c>
      <c r="BQ46" s="788" t="str">
        <f t="shared" si="44"/>
        <v/>
      </c>
      <c r="BR46" s="247">
        <f>IF($AX46=BR$3,COUNTIF($AX$8:$AX46,BR$3),0)</f>
        <v>0</v>
      </c>
      <c r="BS46" s="788" t="str">
        <f t="shared" si="45"/>
        <v/>
      </c>
      <c r="BT46" s="312"/>
      <c r="BU46" s="312"/>
    </row>
    <row r="47" spans="1:73" ht="15" customHeight="1">
      <c r="A47" s="2656"/>
      <c r="B47" s="2828"/>
      <c r="C47" s="2666"/>
      <c r="D47" s="2870"/>
      <c r="E47" s="801" t="str">
        <f>IF(W47,T47&amp;"(週2日)","")</f>
        <v/>
      </c>
      <c r="F47" s="2678"/>
      <c r="G47" s="2741"/>
      <c r="H47" s="2741"/>
      <c r="I47" s="890" t="str">
        <f t="shared" si="32"/>
        <v/>
      </c>
      <c r="J47" s="447" t="str">
        <f t="shared" si="50"/>
        <v/>
      </c>
      <c r="K47" s="801" t="s">
        <v>973</v>
      </c>
      <c r="L47" s="448" t="str">
        <f t="shared" si="51"/>
        <v/>
      </c>
      <c r="M47" s="449">
        <f t="shared" si="58"/>
        <v>0</v>
      </c>
      <c r="N47" s="450" t="str">
        <f t="shared" si="31"/>
        <v>×</v>
      </c>
      <c r="O47" s="2662"/>
      <c r="P47" s="436"/>
      <c r="Q47" s="463" t="b">
        <f>AND(Q42,R47)</f>
        <v>0</v>
      </c>
      <c r="R47" s="739" t="b">
        <f>AND(R42=1,C20&gt;0)</f>
        <v>0</v>
      </c>
      <c r="S47" s="446" t="b">
        <f t="shared" si="52"/>
        <v>0</v>
      </c>
      <c r="T47" s="446" t="str">
        <f>$BM$6</f>
        <v>事務員</v>
      </c>
      <c r="U47" s="407">
        <f t="shared" si="53"/>
        <v>0</v>
      </c>
      <c r="V47" s="446">
        <v>2</v>
      </c>
      <c r="W47" s="446" t="b">
        <f>R47</f>
        <v>0</v>
      </c>
      <c r="X47" s="439" t="b">
        <f t="shared" ca="1" si="33"/>
        <v>0</v>
      </c>
      <c r="Y47" s="440" t="b">
        <f>COUNTIF($AD$30:AD46,AD47)+COUNTIF(AD48:$AD$147,AD47)-COUNTIF(Z47:AC47,AD47)=0</f>
        <v>0</v>
      </c>
      <c r="Z47" s="976" t="s">
        <v>804</v>
      </c>
      <c r="AA47" s="976" t="s">
        <v>804</v>
      </c>
      <c r="AB47" s="976" t="s">
        <v>804</v>
      </c>
      <c r="AC47" s="976" t="s">
        <v>804</v>
      </c>
      <c r="AD47" s="972">
        <f>IF(V47=3,0,IFERROR(INDEX($AU$8:$AU$106,MATCH($F47,AV$8:AV$106,0),1),0))</f>
        <v>0</v>
      </c>
      <c r="AE47" s="248" t="b">
        <f t="shared" si="34"/>
        <v>0</v>
      </c>
      <c r="AF47" s="783" t="b">
        <f t="shared" si="54"/>
        <v>0</v>
      </c>
      <c r="AG47" s="446" t="s">
        <v>804</v>
      </c>
      <c r="AH47" s="446" t="s">
        <v>804</v>
      </c>
      <c r="AI47" s="446">
        <v>5</v>
      </c>
      <c r="AJ47" s="248">
        <f t="shared" ref="AJ47:AJ53" si="72">IF(AND($W47,$J47="○"),IF($K47="-",IF($U47&lt;IF($AI47=5,$AM$4,$AM$3),$AI47,2),IF($K47=0,IF($U47&lt;IF($AI47=5,$AM$4,$AM$3),IF(OR($AI47=1,$AI47=5),$AI47,3),3),IF(K47&lt;IF($AI47=5,$AM$4,$AM$3),$AI47,IF($K47&gt;$U47,4,2)))),2)</f>
        <v>2</v>
      </c>
      <c r="AK47" s="249">
        <f t="shared" si="35"/>
        <v>0</v>
      </c>
      <c r="AQ47" s="461"/>
      <c r="AU47" s="247">
        <f t="shared" si="1"/>
        <v>40</v>
      </c>
      <c r="AV47" s="170" t="str">
        <f>AU47&amp;" "&amp;IF(AX47&lt;&gt;"-",'【様式2】職員名簿 '!B83&amp;"/"&amp;AW47&amp;"/"&amp;AX47,"")</f>
        <v xml:space="preserve">40 </v>
      </c>
      <c r="AW47" s="170">
        <f>'【様式2】職員名簿 '!F83</f>
        <v>0</v>
      </c>
      <c r="AX47" s="170" t="str">
        <f>IF('【様式2】職員名簿 '!K83="エラー","-",IF(AND('【様式2】職員名簿 '!C83=$AX$3,'【様式2】職員名簿 '!K83=$AX$4),$AX$3,'【様式2】職員名簿 '!K83))</f>
        <v>-</v>
      </c>
      <c r="AY47" s="783">
        <f>IF($AW47="常勤",$AN$2,IF($AW47="非常勤",'【様式2】職員名簿 '!H83,0))</f>
        <v>0</v>
      </c>
      <c r="AZ47" s="406">
        <f>IF($AX47=AZ$3,COUNTIF($AX$8:$AX47,AZ$3),0)</f>
        <v>0</v>
      </c>
      <c r="BA47" s="788" t="str">
        <f t="shared" si="36"/>
        <v/>
      </c>
      <c r="BB47" s="247">
        <f>IF(OR($AX47=BB$3,$AX47=BB$4),COUNTIF($AX$8:$AX47,BB$3)+COUNTIF($AX$8:$AX47,BB$4),0)</f>
        <v>0</v>
      </c>
      <c r="BC47" s="788" t="str">
        <f t="shared" si="37"/>
        <v/>
      </c>
      <c r="BD47" s="407">
        <f>IF(OR($AX47=$BD$4,$AX47=BD$3),COUNTIFS($AX$8:$AX47,BD$3,$AW$8:$AW47,BD$5)+COUNTIFS($AX$8:$AX47,BD$4,$AW$8:$AW47,BD$5),0)</f>
        <v>0</v>
      </c>
      <c r="BE47" s="788" t="str">
        <f t="shared" si="38"/>
        <v/>
      </c>
      <c r="BF47" s="248">
        <f>IF($AX47=BF$3,COUNTIF($AX$8:$AX47,BF$3),0)</f>
        <v>0</v>
      </c>
      <c r="BG47" s="788" t="str">
        <f t="shared" si="39"/>
        <v/>
      </c>
      <c r="BH47" s="247">
        <f>IF(OR($AX47=BH$3,$AX47=BH$4),COUNTIF($AX$8:$AX47,BH$3)+COUNTIF($AX$8:$AX47,BH$4),0)</f>
        <v>0</v>
      </c>
      <c r="BI47" s="788" t="str">
        <f t="shared" si="40"/>
        <v/>
      </c>
      <c r="BJ47" s="247">
        <f>IF($AX47=BJ$4,COUNTIFS($AW$8:$AW47,BJ$3,$AX$8:$AX47,BJ$4),0)</f>
        <v>0</v>
      </c>
      <c r="BK47" s="788" t="str">
        <f t="shared" si="41"/>
        <v/>
      </c>
      <c r="BL47" s="247">
        <f>IF($AX47=BL$3,COUNTIF($AX$8:$AX47,BL$3),0)</f>
        <v>0</v>
      </c>
      <c r="BM47" s="788" t="str">
        <f t="shared" si="42"/>
        <v/>
      </c>
      <c r="BN47" s="247">
        <f>IF($AX47=BN$3,COUNTIF($AX$8:$AX47,BN$3),0)</f>
        <v>0</v>
      </c>
      <c r="BO47" s="788" t="str">
        <f t="shared" si="43"/>
        <v/>
      </c>
      <c r="BP47" s="247">
        <f>IF($AX47&lt;&gt;BP$3,COUNTIF($AX$8:$AX47,"&lt;&gt;"&amp;BP$3),0)</f>
        <v>0</v>
      </c>
      <c r="BQ47" s="788" t="str">
        <f t="shared" si="44"/>
        <v/>
      </c>
      <c r="BR47" s="247">
        <f>IF($AX47=BR$3,COUNTIF($AX$8:$AX47,BR$3),0)</f>
        <v>0</v>
      </c>
      <c r="BS47" s="788" t="str">
        <f t="shared" si="45"/>
        <v/>
      </c>
      <c r="BT47" s="312"/>
      <c r="BU47" s="312"/>
    </row>
    <row r="48" spans="1:73" ht="15" customHeight="1">
      <c r="A48" s="2656"/>
      <c r="B48" s="2828"/>
      <c r="C48" s="2666"/>
      <c r="D48" s="2870"/>
      <c r="E48" s="471" t="str">
        <f t="shared" ref="E48" si="73">IF(W48,T48,"")</f>
        <v>全職種</v>
      </c>
      <c r="F48" s="2754"/>
      <c r="G48" s="2755"/>
      <c r="H48" s="2755"/>
      <c r="I48" s="890" t="str">
        <f t="shared" ref="I48" si="74">IF(OR(NOT(W48),U48=0),"","【"&amp;U48&amp;"h】")</f>
        <v/>
      </c>
      <c r="J48" s="464" t="str">
        <f t="shared" ref="J48" si="75">IF(OR(F48=0,F48=""),"",IF(W48,IF(X48,IF(OR(Y48,V48=3),IF(AE48,IF(OR(AF48,V48=2,V48=3),"○","要常勤"),"時間無"),"重複"),"名簿無"),"対象外"))</f>
        <v/>
      </c>
      <c r="K48" s="1066"/>
      <c r="L48" s="472" t="str">
        <f t="shared" ref="L48" si="76">IF(AJ48=1,"調整①→",IF(AJ48=5,"調整②→",IF(AJ48=2,"",IF(AJ48=3,"全計上→","エラー"))))</f>
        <v/>
      </c>
      <c r="M48" s="466">
        <f t="shared" si="58"/>
        <v>0</v>
      </c>
      <c r="N48" s="450" t="str">
        <f t="shared" si="31"/>
        <v>○</v>
      </c>
      <c r="O48" s="2662"/>
      <c r="P48" s="436"/>
      <c r="Q48" s="463" t="b">
        <f>AND(Q42,R48)</f>
        <v>1</v>
      </c>
      <c r="R48" s="739" t="b">
        <f>R42=2</f>
        <v>1</v>
      </c>
      <c r="S48" s="446" t="b">
        <f t="shared" si="52"/>
        <v>0</v>
      </c>
      <c r="T48" s="446" t="str">
        <f>$BQ$6</f>
        <v>全職種</v>
      </c>
      <c r="U48" s="407">
        <f t="shared" si="53"/>
        <v>0</v>
      </c>
      <c r="V48" s="446">
        <v>3</v>
      </c>
      <c r="W48" s="446" t="b">
        <f>R48</f>
        <v>1</v>
      </c>
      <c r="X48" s="439" t="b">
        <f t="shared" ref="X48" ca="1" si="77">COUNTIF(INDIRECT(T48),F48)&gt;0</f>
        <v>0</v>
      </c>
      <c r="Y48" s="440" t="b">
        <f>COUNTIF($AD$30:AD47,AD48)+COUNTIF(AD49:$AD$147,AD48)-COUNTIF(Z48:AC48,AD48)=0</f>
        <v>0</v>
      </c>
      <c r="Z48" s="976">
        <f>AD34</f>
        <v>0</v>
      </c>
      <c r="AA48" s="976">
        <f>AD36</f>
        <v>0</v>
      </c>
      <c r="AB48" s="976">
        <f>AD49</f>
        <v>0</v>
      </c>
      <c r="AC48" s="976">
        <f>AD52</f>
        <v>0</v>
      </c>
      <c r="AD48" s="454">
        <f t="shared" ref="AD48" si="78">IF(V48=3,0,IFERROR(INDEX($AU$8:$AU$106,MATCH($F48,AV$8:AV$106,0),1),0))</f>
        <v>0</v>
      </c>
      <c r="AE48" s="248" t="b">
        <f t="shared" ref="AE48" si="79">U48&gt;0</f>
        <v>0</v>
      </c>
      <c r="AF48" s="783" t="b">
        <f t="shared" si="54"/>
        <v>0</v>
      </c>
      <c r="AG48" s="446" t="str">
        <f>IFERROR(VLOOKUP(F48,$AV$8:$AY$106,3,FALSE),"")</f>
        <v/>
      </c>
      <c r="AH48" s="473">
        <f>M48</f>
        <v>0</v>
      </c>
      <c r="AI48" s="446">
        <v>2</v>
      </c>
      <c r="AJ48" s="248">
        <f t="shared" ref="AJ48" si="80">IF(AND($W48,$J48="○"),IF($K48="-",IF($U48&lt;IF($AI48=5,$AM$4,$AM$3),$AI48,2),IF($K48=0,IF($U48&lt;IF($AI48=5,$AM$4,$AM$3),IF(OR($AI48=1,$AI48=5),$AI48,3),3),IF(K48&lt;IF($AI48=5,$AM$4,$AM$3),$AI48,IF($K48&gt;$U48,4,2)))),2)</f>
        <v>2</v>
      </c>
      <c r="AK48" s="249">
        <f t="shared" ref="AK48" si="81">IF(AJ48=1,$AM$3,IF(AJ48=5,$AM$4,IF(AJ48=2,IF(K48="-",U48,K48),IF(AJ48=3,U48,"×"))))</f>
        <v>0</v>
      </c>
      <c r="AQ48" s="461"/>
      <c r="AU48" s="247">
        <f t="shared" si="1"/>
        <v>41</v>
      </c>
      <c r="AV48" s="170" t="str">
        <f>AU48&amp;" "&amp;IF(AX48&lt;&gt;"-",'【様式2】職員名簿 '!B84&amp;"/"&amp;AW48&amp;"/"&amp;AX48,"")</f>
        <v xml:space="preserve">41 </v>
      </c>
      <c r="AW48" s="170">
        <f>'【様式2】職員名簿 '!F84</f>
        <v>0</v>
      </c>
      <c r="AX48" s="170" t="str">
        <f>IF('【様式2】職員名簿 '!K84="エラー","-",IF(AND('【様式2】職員名簿 '!C84=$AX$3,'【様式2】職員名簿 '!K84=$AX$4),$AX$3,'【様式2】職員名簿 '!K84))</f>
        <v>-</v>
      </c>
      <c r="AY48" s="783">
        <f>IF($AW48="常勤",$AN$2,IF($AW48="非常勤",'【様式2】職員名簿 '!H84,0))</f>
        <v>0</v>
      </c>
      <c r="AZ48" s="406">
        <f>IF($AX48=AZ$3,COUNTIF($AX$8:$AX48,AZ$3),0)</f>
        <v>0</v>
      </c>
      <c r="BA48" s="788" t="str">
        <f t="shared" si="36"/>
        <v/>
      </c>
      <c r="BB48" s="247">
        <f>IF(OR($AX48=BB$3,$AX48=BB$4),COUNTIF($AX$8:$AX48,BB$3)+COUNTIF($AX$8:$AX48,BB$4),0)</f>
        <v>0</v>
      </c>
      <c r="BC48" s="788" t="str">
        <f t="shared" si="37"/>
        <v/>
      </c>
      <c r="BD48" s="407">
        <f>IF(OR($AX48=$BD$4,$AX48=BD$3),COUNTIFS($AX$8:$AX48,BD$3,$AW$8:$AW48,BD$5)+COUNTIFS($AX$8:$AX48,BD$4,$AW$8:$AW48,BD$5),0)</f>
        <v>0</v>
      </c>
      <c r="BE48" s="788" t="str">
        <f t="shared" si="38"/>
        <v/>
      </c>
      <c r="BF48" s="248">
        <f>IF($AX48=BF$3,COUNTIF($AX$8:$AX48,BF$3),0)</f>
        <v>0</v>
      </c>
      <c r="BG48" s="788" t="str">
        <f t="shared" si="39"/>
        <v/>
      </c>
      <c r="BH48" s="247">
        <f>IF(OR($AX48=BH$3,$AX48=BH$4),COUNTIF($AX$8:$AX48,BH$3)+COUNTIF($AX$8:$AX48,BH$4),0)</f>
        <v>0</v>
      </c>
      <c r="BI48" s="788" t="str">
        <f t="shared" si="40"/>
        <v/>
      </c>
      <c r="BJ48" s="247">
        <f>IF($AX48=BJ$4,COUNTIFS($AW$8:$AW48,BJ$3,$AX$8:$AX48,BJ$4),0)</f>
        <v>0</v>
      </c>
      <c r="BK48" s="788" t="str">
        <f t="shared" si="41"/>
        <v/>
      </c>
      <c r="BL48" s="247">
        <f>IF($AX48=BL$3,COUNTIF($AX$8:$AX48,BL$3),0)</f>
        <v>0</v>
      </c>
      <c r="BM48" s="788" t="str">
        <f t="shared" si="42"/>
        <v/>
      </c>
      <c r="BN48" s="247">
        <f>IF($AX48=BN$3,COUNTIF($AX$8:$AX48,BN$3),0)</f>
        <v>0</v>
      </c>
      <c r="BO48" s="788" t="str">
        <f t="shared" si="43"/>
        <v/>
      </c>
      <c r="BP48" s="247">
        <f>IF($AX48&lt;&gt;BP$3,COUNTIF($AX$8:$AX48,"&lt;&gt;"&amp;BP$3),0)</f>
        <v>0</v>
      </c>
      <c r="BQ48" s="788" t="str">
        <f t="shared" si="44"/>
        <v/>
      </c>
      <c r="BR48" s="247">
        <f>IF($AX48=BR$3,COUNTIF($AX$8:$AX48,BR$3),0)</f>
        <v>0</v>
      </c>
      <c r="BS48" s="788" t="str">
        <f t="shared" si="45"/>
        <v/>
      </c>
      <c r="BT48" s="312"/>
      <c r="BU48" s="312"/>
    </row>
    <row r="49" spans="1:73" ht="15" customHeight="1">
      <c r="A49" s="2656"/>
      <c r="B49" s="2828"/>
      <c r="C49" s="2666"/>
      <c r="D49" s="2870"/>
      <c r="E49" s="471" t="str">
        <f t="shared" si="49"/>
        <v/>
      </c>
      <c r="F49" s="2754"/>
      <c r="G49" s="2755"/>
      <c r="H49" s="2755"/>
      <c r="I49" s="890" t="str">
        <f t="shared" si="32"/>
        <v/>
      </c>
      <c r="J49" s="464" t="str">
        <f t="shared" si="50"/>
        <v/>
      </c>
      <c r="K49" s="1066"/>
      <c r="L49" s="472" t="str">
        <f t="shared" si="51"/>
        <v/>
      </c>
      <c r="M49" s="466">
        <f t="shared" si="58"/>
        <v>0</v>
      </c>
      <c r="N49" s="450" t="str">
        <f t="shared" si="31"/>
        <v>×</v>
      </c>
      <c r="O49" s="2662"/>
      <c r="P49" s="436"/>
      <c r="Q49" s="463" t="b">
        <f>AND(Q42,R49)</f>
        <v>0</v>
      </c>
      <c r="R49" s="739" t="b">
        <f>AND(R42=2,C20&gt;0)</f>
        <v>0</v>
      </c>
      <c r="S49" s="446" t="b">
        <f t="shared" si="52"/>
        <v>0</v>
      </c>
      <c r="T49" s="446" t="str">
        <f>$BQ$6</f>
        <v>全職種</v>
      </c>
      <c r="U49" s="407">
        <f t="shared" si="53"/>
        <v>0</v>
      </c>
      <c r="V49" s="446">
        <v>3</v>
      </c>
      <c r="W49" s="446" t="b">
        <f>R49</f>
        <v>0</v>
      </c>
      <c r="X49" s="439" t="b">
        <f t="shared" ca="1" si="33"/>
        <v>0</v>
      </c>
      <c r="Y49" s="440" t="b">
        <f>COUNTIF($AD$30:AD48,AD49)+COUNTIF(AD50:$AD$147,AD49)-COUNTIF(Z49:AC49,AD49)=0</f>
        <v>0</v>
      </c>
      <c r="Z49" s="976">
        <f>AD34</f>
        <v>0</v>
      </c>
      <c r="AA49" s="976">
        <f>AD36</f>
        <v>0</v>
      </c>
      <c r="AB49" s="976">
        <f>AD48</f>
        <v>0</v>
      </c>
      <c r="AC49" s="976">
        <f>AD52</f>
        <v>0</v>
      </c>
      <c r="AD49" s="454">
        <f>IF(V49=3,0,IFERROR(INDEX($AU$8:$AU$106,MATCH($F49,AV$8:AV$106,0),1),0))</f>
        <v>0</v>
      </c>
      <c r="AE49" s="248" t="b">
        <f t="shared" si="34"/>
        <v>0</v>
      </c>
      <c r="AF49" s="783" t="b">
        <f t="shared" si="54"/>
        <v>0</v>
      </c>
      <c r="AG49" s="446" t="str">
        <f>IFERROR(VLOOKUP(F49,$AV$8:$AY$106,3,FALSE),"")</f>
        <v/>
      </c>
      <c r="AH49" s="473">
        <f>M49</f>
        <v>0</v>
      </c>
      <c r="AI49" s="446">
        <v>2</v>
      </c>
      <c r="AJ49" s="248">
        <f t="shared" si="72"/>
        <v>2</v>
      </c>
      <c r="AK49" s="249">
        <f t="shared" si="35"/>
        <v>0</v>
      </c>
      <c r="AQ49" s="461"/>
      <c r="AU49" s="247">
        <f t="shared" si="1"/>
        <v>42</v>
      </c>
      <c r="AV49" s="170" t="str">
        <f>AU49&amp;" "&amp;IF(AX49&lt;&gt;"-",'【様式2】職員名簿 '!B85&amp;"/"&amp;AW49&amp;"/"&amp;AX49,"")</f>
        <v xml:space="preserve">42 </v>
      </c>
      <c r="AW49" s="170">
        <f>'【様式2】職員名簿 '!F85</f>
        <v>0</v>
      </c>
      <c r="AX49" s="170" t="str">
        <f>IF('【様式2】職員名簿 '!K85="エラー","-",IF(AND('【様式2】職員名簿 '!C85=$AX$3,'【様式2】職員名簿 '!K85=$AX$4),$AX$3,'【様式2】職員名簿 '!K85))</f>
        <v>-</v>
      </c>
      <c r="AY49" s="783">
        <f>IF($AW49="常勤",$AN$2,IF($AW49="非常勤",'【様式2】職員名簿 '!H85,0))</f>
        <v>0</v>
      </c>
      <c r="AZ49" s="406">
        <f>IF($AX49=AZ$3,COUNTIF($AX$8:$AX49,AZ$3),0)</f>
        <v>0</v>
      </c>
      <c r="BA49" s="788" t="str">
        <f t="shared" si="36"/>
        <v/>
      </c>
      <c r="BB49" s="247">
        <f>IF(OR($AX49=BB$3,$AX49=BB$4),COUNTIF($AX$8:$AX49,BB$3)+COUNTIF($AX$8:$AX49,BB$4),0)</f>
        <v>0</v>
      </c>
      <c r="BC49" s="788" t="str">
        <f t="shared" si="37"/>
        <v/>
      </c>
      <c r="BD49" s="407">
        <f>IF(OR($AX49=$BD$4,$AX49=BD$3),COUNTIFS($AX$8:$AX49,BD$3,$AW$8:$AW49,BD$5)+COUNTIFS($AX$8:$AX49,BD$4,$AW$8:$AW49,BD$5),0)</f>
        <v>0</v>
      </c>
      <c r="BE49" s="788" t="str">
        <f t="shared" si="38"/>
        <v/>
      </c>
      <c r="BF49" s="248">
        <f>IF($AX49=BF$3,COUNTIF($AX$8:$AX49,BF$3),0)</f>
        <v>0</v>
      </c>
      <c r="BG49" s="788" t="str">
        <f t="shared" si="39"/>
        <v/>
      </c>
      <c r="BH49" s="247">
        <f>IF(OR($AX49=BH$3,$AX49=BH$4),COUNTIF($AX$8:$AX49,BH$3)+COUNTIF($AX$8:$AX49,BH$4),0)</f>
        <v>0</v>
      </c>
      <c r="BI49" s="788" t="str">
        <f t="shared" si="40"/>
        <v/>
      </c>
      <c r="BJ49" s="247">
        <f>IF($AX49=BJ$4,COUNTIFS($AW$8:$AW49,BJ$3,$AX$8:$AX49,BJ$4),0)</f>
        <v>0</v>
      </c>
      <c r="BK49" s="788" t="str">
        <f t="shared" si="41"/>
        <v/>
      </c>
      <c r="BL49" s="247">
        <f>IF($AX49=BL$3,COUNTIF($AX$8:$AX49,BL$3),0)</f>
        <v>0</v>
      </c>
      <c r="BM49" s="788" t="str">
        <f t="shared" si="42"/>
        <v/>
      </c>
      <c r="BN49" s="247">
        <f>IF($AX49=BN$3,COUNTIF($AX$8:$AX49,BN$3),0)</f>
        <v>0</v>
      </c>
      <c r="BO49" s="788" t="str">
        <f t="shared" si="43"/>
        <v/>
      </c>
      <c r="BP49" s="247">
        <f>IF($AX49&lt;&gt;BP$3,COUNTIF($AX$8:$AX49,"&lt;&gt;"&amp;BP$3),0)</f>
        <v>0</v>
      </c>
      <c r="BQ49" s="788" t="str">
        <f t="shared" si="44"/>
        <v/>
      </c>
      <c r="BR49" s="247">
        <f>IF($AX49=BR$3,COUNTIF($AX$8:$AX49,BR$3),0)</f>
        <v>0</v>
      </c>
      <c r="BS49" s="788" t="str">
        <f t="shared" si="45"/>
        <v/>
      </c>
      <c r="BT49" s="312"/>
      <c r="BU49" s="312"/>
    </row>
    <row r="50" spans="1:73" ht="15" customHeight="1">
      <c r="A50" s="2656"/>
      <c r="B50" s="2701"/>
      <c r="C50" s="2860"/>
      <c r="D50" s="2871"/>
      <c r="E50" s="474" t="str">
        <f t="shared" si="49"/>
        <v/>
      </c>
      <c r="F50" s="2868" t="str">
        <f>IF(W50,BU10,"")</f>
        <v/>
      </c>
      <c r="G50" s="2869"/>
      <c r="H50" s="2869"/>
      <c r="I50" s="891" t="str">
        <f t="shared" si="32"/>
        <v/>
      </c>
      <c r="J50" s="464" t="str">
        <f t="shared" si="50"/>
        <v/>
      </c>
      <c r="K50" s="471" t="s">
        <v>973</v>
      </c>
      <c r="L50" s="472" t="str">
        <f t="shared" si="51"/>
        <v/>
      </c>
      <c r="M50" s="486" t="s">
        <v>974</v>
      </c>
      <c r="N50" s="460" t="str">
        <f t="shared" si="31"/>
        <v>×</v>
      </c>
      <c r="O50" s="2663"/>
      <c r="P50" s="436"/>
      <c r="Q50" s="463" t="b">
        <f>AND(Q42,R50)</f>
        <v>0</v>
      </c>
      <c r="R50" s="739" t="b">
        <f>R42=3</f>
        <v>0</v>
      </c>
      <c r="S50" s="446" t="b">
        <f t="shared" si="52"/>
        <v>0</v>
      </c>
      <c r="T50" s="446" t="str">
        <f>$BU$6</f>
        <v>業務委託</v>
      </c>
      <c r="U50" s="797">
        <f>BV10</f>
        <v>0</v>
      </c>
      <c r="V50" s="469">
        <v>3</v>
      </c>
      <c r="W50" s="446" t="b">
        <f t="shared" ref="W50" si="82">R50</f>
        <v>0</v>
      </c>
      <c r="X50" s="439" t="b">
        <f t="shared" ca="1" si="33"/>
        <v>0</v>
      </c>
      <c r="Y50" s="440" t="b">
        <f>COUNTIF($AD$30:AD49,AD50)+COUNTIF(AD51:$AD$147,AD50)-COUNTIF(Z50:AC50,AD50)=0</f>
        <v>0</v>
      </c>
      <c r="Z50" s="976" t="s">
        <v>804</v>
      </c>
      <c r="AA50" s="976" t="s">
        <v>804</v>
      </c>
      <c r="AB50" s="976" t="s">
        <v>804</v>
      </c>
      <c r="AC50" s="976" t="s">
        <v>804</v>
      </c>
      <c r="AD50" s="454">
        <f>IF(V50=3,0,IFERROR(INDEX($AU$8:$AU$106,MATCH($F50,AV$8:AV$106,0),1),0))</f>
        <v>0</v>
      </c>
      <c r="AE50" s="455" t="b">
        <f t="shared" si="34"/>
        <v>0</v>
      </c>
      <c r="AF50" s="456" t="b">
        <f t="shared" si="54"/>
        <v>0</v>
      </c>
      <c r="AG50" s="446" t="s">
        <v>804</v>
      </c>
      <c r="AH50" s="446" t="s">
        <v>804</v>
      </c>
      <c r="AI50" s="446">
        <v>2</v>
      </c>
      <c r="AJ50" s="248">
        <f t="shared" si="72"/>
        <v>2</v>
      </c>
      <c r="AK50" s="249">
        <f t="shared" si="35"/>
        <v>0</v>
      </c>
      <c r="AU50" s="247">
        <f t="shared" si="1"/>
        <v>43</v>
      </c>
      <c r="AV50" s="170" t="str">
        <f>AU50&amp;" "&amp;IF(AX50&lt;&gt;"-",'【様式2】職員名簿 '!B86&amp;"/"&amp;AW50&amp;"/"&amp;AX50,"")</f>
        <v xml:space="preserve">43 </v>
      </c>
      <c r="AW50" s="170">
        <f>'【様式2】職員名簿 '!F86</f>
        <v>0</v>
      </c>
      <c r="AX50" s="170" t="str">
        <f>IF('【様式2】職員名簿 '!K86="エラー","-",IF(AND('【様式2】職員名簿 '!C86=$AX$3,'【様式2】職員名簿 '!K86=$AX$4),$AX$3,'【様式2】職員名簿 '!K86))</f>
        <v>-</v>
      </c>
      <c r="AY50" s="783">
        <f>IF($AW50="常勤",$AN$2,IF($AW50="非常勤",'【様式2】職員名簿 '!H86,0))</f>
        <v>0</v>
      </c>
      <c r="AZ50" s="406">
        <f>IF($AX50=AZ$3,COUNTIF($AX$8:$AX50,AZ$3),0)</f>
        <v>0</v>
      </c>
      <c r="BA50" s="788" t="str">
        <f t="shared" si="36"/>
        <v/>
      </c>
      <c r="BB50" s="247">
        <f>IF(OR($AX50=BB$3,$AX50=BB$4),COUNTIF($AX$8:$AX50,BB$3)+COUNTIF($AX$8:$AX50,BB$4),0)</f>
        <v>0</v>
      </c>
      <c r="BC50" s="788" t="str">
        <f t="shared" si="37"/>
        <v/>
      </c>
      <c r="BD50" s="407">
        <f>IF(OR($AX50=$BD$4,$AX50=BD$3),COUNTIFS($AX$8:$AX50,BD$3,$AW$8:$AW50,BD$5)+COUNTIFS($AX$8:$AX50,BD$4,$AW$8:$AW50,BD$5),0)</f>
        <v>0</v>
      </c>
      <c r="BE50" s="788" t="str">
        <f t="shared" si="38"/>
        <v/>
      </c>
      <c r="BF50" s="248">
        <f>IF($AX50=BF$3,COUNTIF($AX$8:$AX50,BF$3),0)</f>
        <v>0</v>
      </c>
      <c r="BG50" s="788" t="str">
        <f t="shared" si="39"/>
        <v/>
      </c>
      <c r="BH50" s="247">
        <f>IF(OR($AX50=BH$3,$AX50=BH$4),COUNTIF($AX$8:$AX50,BH$3)+COUNTIF($AX$8:$AX50,BH$4),0)</f>
        <v>0</v>
      </c>
      <c r="BI50" s="788" t="str">
        <f t="shared" si="40"/>
        <v/>
      </c>
      <c r="BJ50" s="247">
        <f>IF($AX50=BJ$4,COUNTIFS($AW$8:$AW50,BJ$3,$AX$8:$AX50,BJ$4),0)</f>
        <v>0</v>
      </c>
      <c r="BK50" s="788" t="str">
        <f t="shared" si="41"/>
        <v/>
      </c>
      <c r="BL50" s="247">
        <f>IF($AX50=BL$3,COUNTIF($AX$8:$AX50,BL$3),0)</f>
        <v>0</v>
      </c>
      <c r="BM50" s="788" t="str">
        <f t="shared" si="42"/>
        <v/>
      </c>
      <c r="BN50" s="247">
        <f>IF($AX50=BN$3,COUNTIF($AX$8:$AX50,BN$3),0)</f>
        <v>0</v>
      </c>
      <c r="BO50" s="788" t="str">
        <f t="shared" si="43"/>
        <v/>
      </c>
      <c r="BP50" s="247">
        <f>IF($AX50&lt;&gt;BP$3,COUNTIF($AX$8:$AX50,"&lt;&gt;"&amp;BP$3),0)</f>
        <v>0</v>
      </c>
      <c r="BQ50" s="788" t="str">
        <f t="shared" si="44"/>
        <v/>
      </c>
      <c r="BR50" s="247">
        <f>IF($AX50=BR$3,COUNTIF($AX$8:$AX50,BR$3),0)</f>
        <v>0</v>
      </c>
      <c r="BS50" s="788" t="str">
        <f t="shared" si="45"/>
        <v/>
      </c>
      <c r="BT50" s="312"/>
      <c r="BU50" s="312"/>
    </row>
    <row r="51" spans="1:73" ht="15" customHeight="1">
      <c r="A51" s="2657"/>
      <c r="B51" s="2698" t="str">
        <f>"学校医【"&amp;IF(R51=1,"雇用",IF(R51=2,"嘱託","-"))&amp;"】"</f>
        <v>学校医【嘱託】</v>
      </c>
      <c r="C51" s="2699"/>
      <c r="D51" s="2577" t="str">
        <f t="shared" ref="D51:D52" si="83">IF(W51,T51,"")</f>
        <v/>
      </c>
      <c r="E51" s="2700"/>
      <c r="F51" s="2949"/>
      <c r="G51" s="2950"/>
      <c r="H51" s="2950"/>
      <c r="I51" s="892" t="str">
        <f>IF(OR(NOT(W51),U51=0),"","【"&amp;U51&amp;"h】")</f>
        <v/>
      </c>
      <c r="J51" s="982" t="str">
        <f t="shared" si="50"/>
        <v/>
      </c>
      <c r="K51" s="905" t="s">
        <v>973</v>
      </c>
      <c r="L51" s="477" t="str">
        <f>IF(AJ51=1,"調整①→",IF(AJ51=5,"調整②→",IF(AJ51=2,"",IF(AJ51=3,"全計上→","エラー"))))</f>
        <v/>
      </c>
      <c r="M51" s="478">
        <f t="shared" ref="M51:M53" si="84">IF(OR(AND(J51&lt;&gt;"",J51&lt;&gt;"○"),AJ51=4),"×",IF(J51="",0,AK51/$AN$2))</f>
        <v>0</v>
      </c>
      <c r="N51" s="991" t="str">
        <f t="shared" si="31"/>
        <v>○</v>
      </c>
      <c r="O51" s="994" t="str">
        <f t="shared" ref="O51" si="85">IF(Q51,IF(S51,"○","×"),"-")</f>
        <v>○</v>
      </c>
      <c r="P51" s="436"/>
      <c r="Q51" s="446" t="b">
        <f>TRUE()</f>
        <v>1</v>
      </c>
      <c r="R51" s="445">
        <f>IF(【様式１】総括表・個票!AI81,1,IF(【様式１】総括表・個票!AI82,2,0))</f>
        <v>2</v>
      </c>
      <c r="S51" s="446" t="b">
        <f>OR(R51=2,AND(R51=1,J51="○"))</f>
        <v>1</v>
      </c>
      <c r="T51" s="446" t="str">
        <f>$BO$6</f>
        <v>学校医</v>
      </c>
      <c r="U51" s="407">
        <f>IFERROR(VLOOKUP($F51,$AV$8:$AY$108,4,FALSE),0)</f>
        <v>0</v>
      </c>
      <c r="V51" s="446">
        <v>2</v>
      </c>
      <c r="W51" s="446" t="b">
        <f>R51=1</f>
        <v>0</v>
      </c>
      <c r="X51" s="439" t="b">
        <f t="shared" ca="1" si="33"/>
        <v>0</v>
      </c>
      <c r="Y51" s="440" t="b">
        <f>COUNTIF($AD$30:AD50,AD51)+COUNTIF(AD52:$AD$147,AD51)-COUNTIF(Z51:AC51,AD51)=0</f>
        <v>0</v>
      </c>
      <c r="Z51" s="976" t="s">
        <v>804</v>
      </c>
      <c r="AA51" s="976" t="s">
        <v>804</v>
      </c>
      <c r="AB51" s="976" t="s">
        <v>804</v>
      </c>
      <c r="AC51" s="976" t="s">
        <v>804</v>
      </c>
      <c r="AD51" s="972">
        <f>IF(V51=3,0,IFERROR(INDEX($AU$8:$AU$106,MATCH($F51,AV$8:AV$106,0),1),0))</f>
        <v>0</v>
      </c>
      <c r="AE51" s="248" t="b">
        <f t="shared" si="34"/>
        <v>0</v>
      </c>
      <c r="AF51" s="783" t="b">
        <f t="shared" si="54"/>
        <v>0</v>
      </c>
      <c r="AG51" s="446" t="s">
        <v>804</v>
      </c>
      <c r="AH51" s="446" t="s">
        <v>804</v>
      </c>
      <c r="AI51" s="446">
        <v>2</v>
      </c>
      <c r="AJ51" s="248">
        <f t="shared" si="72"/>
        <v>2</v>
      </c>
      <c r="AK51" s="249">
        <f t="shared" si="35"/>
        <v>0</v>
      </c>
      <c r="AU51" s="247">
        <f t="shared" si="1"/>
        <v>44</v>
      </c>
      <c r="AV51" s="170" t="str">
        <f>AU51&amp;" "&amp;IF(AX51&lt;&gt;"-",'【様式2】職員名簿 '!B87&amp;"/"&amp;AW51&amp;"/"&amp;AX51,"")</f>
        <v xml:space="preserve">44 </v>
      </c>
      <c r="AW51" s="170">
        <f>'【様式2】職員名簿 '!F87</f>
        <v>0</v>
      </c>
      <c r="AX51" s="170" t="str">
        <f>IF('【様式2】職員名簿 '!K87="エラー","-",IF(AND('【様式2】職員名簿 '!C87=$AX$3,'【様式2】職員名簿 '!K87=$AX$4),$AX$3,'【様式2】職員名簿 '!K87))</f>
        <v>-</v>
      </c>
      <c r="AY51" s="783">
        <f>IF($AW51="常勤",$AN$2,IF($AW51="非常勤",'【様式2】職員名簿 '!H87,0))</f>
        <v>0</v>
      </c>
      <c r="AZ51" s="406">
        <f>IF($AX51=AZ$3,COUNTIF($AX$8:$AX51,AZ$3),0)</f>
        <v>0</v>
      </c>
      <c r="BA51" s="788" t="str">
        <f t="shared" si="36"/>
        <v/>
      </c>
      <c r="BB51" s="247">
        <f>IF(OR($AX51=BB$3,$AX51=BB$4),COUNTIF($AX$8:$AX51,BB$3)+COUNTIF($AX$8:$AX51,BB$4),0)</f>
        <v>0</v>
      </c>
      <c r="BC51" s="788" t="str">
        <f t="shared" si="37"/>
        <v/>
      </c>
      <c r="BD51" s="407">
        <f>IF(OR($AX51=$BD$4,$AX51=BD$3),COUNTIFS($AX$8:$AX51,BD$3,$AW$8:$AW51,BD$5)+COUNTIFS($AX$8:$AX51,BD$4,$AW$8:$AW51,BD$5),0)</f>
        <v>0</v>
      </c>
      <c r="BE51" s="788" t="str">
        <f t="shared" si="38"/>
        <v/>
      </c>
      <c r="BF51" s="248">
        <f>IF($AX51=BF$3,COUNTIF($AX$8:$AX51,BF$3),0)</f>
        <v>0</v>
      </c>
      <c r="BG51" s="788" t="str">
        <f t="shared" si="39"/>
        <v/>
      </c>
      <c r="BH51" s="247">
        <f>IF(OR($AX51=BH$3,$AX51=BH$4),COUNTIF($AX$8:$AX51,BH$3)+COUNTIF($AX$8:$AX51,BH$4),0)</f>
        <v>0</v>
      </c>
      <c r="BI51" s="788" t="str">
        <f t="shared" si="40"/>
        <v/>
      </c>
      <c r="BJ51" s="247">
        <f>IF($AX51=BJ$4,COUNTIFS($AW$8:$AW51,BJ$3,$AX$8:$AX51,BJ$4),0)</f>
        <v>0</v>
      </c>
      <c r="BK51" s="788" t="str">
        <f t="shared" si="41"/>
        <v/>
      </c>
      <c r="BL51" s="247">
        <f>IF($AX51=BL$3,COUNTIF($AX$8:$AX51,BL$3),0)</f>
        <v>0</v>
      </c>
      <c r="BM51" s="788" t="str">
        <f t="shared" si="42"/>
        <v/>
      </c>
      <c r="BN51" s="247">
        <f>IF($AX51=BN$3,COUNTIF($AX$8:$AX51,BN$3),0)</f>
        <v>0</v>
      </c>
      <c r="BO51" s="788" t="str">
        <f t="shared" si="43"/>
        <v/>
      </c>
      <c r="BP51" s="247">
        <f>IF($AX51&lt;&gt;BP$3,COUNTIF($AX$8:$AX51,"&lt;&gt;"&amp;BP$3),0)</f>
        <v>0</v>
      </c>
      <c r="BQ51" s="788" t="str">
        <f t="shared" si="44"/>
        <v/>
      </c>
      <c r="BR51" s="247">
        <f>IF($AX51=BR$3,COUNTIF($AX$8:$AX51,BR$3),0)</f>
        <v>0</v>
      </c>
      <c r="BS51" s="788" t="str">
        <f t="shared" si="45"/>
        <v/>
      </c>
      <c r="BT51" s="312"/>
      <c r="BU51" s="312"/>
    </row>
    <row r="52" spans="1:73" ht="15" customHeight="1">
      <c r="A52" s="1297" t="s">
        <v>754</v>
      </c>
      <c r="B52" s="2685" t="s">
        <v>89</v>
      </c>
      <c r="C52" s="751" t="s">
        <v>982</v>
      </c>
      <c r="D52" s="1607" t="str">
        <f t="shared" si="83"/>
        <v/>
      </c>
      <c r="E52" s="2686"/>
      <c r="F52" s="2752"/>
      <c r="G52" s="2753"/>
      <c r="H52" s="2753"/>
      <c r="I52" s="891" t="str">
        <f>IF(OR(NOT(W52),U52=0),"","【"&amp;U52&amp;"h】")</f>
        <v/>
      </c>
      <c r="J52" s="757" t="str">
        <f t="shared" si="50"/>
        <v/>
      </c>
      <c r="K52" s="993" t="s">
        <v>973</v>
      </c>
      <c r="L52" s="452" t="str">
        <f>IF(AJ52=1,"調整①→",IF(AJ52=5,"調整②→",IF(AJ52=2,"",IF(AJ52=3,"全計上→","エラー"))))</f>
        <v/>
      </c>
      <c r="M52" s="453">
        <f t="shared" si="84"/>
        <v>0</v>
      </c>
      <c r="N52" s="995" t="str">
        <f t="shared" si="31"/>
        <v>×</v>
      </c>
      <c r="O52" s="2762" t="str">
        <f>IF(Q52,IF(S52,"○","×"),"-")</f>
        <v>-</v>
      </c>
      <c r="P52" s="436"/>
      <c r="Q52" s="802" t="b">
        <f>【様式１】総括表・個票!AI97</f>
        <v>0</v>
      </c>
      <c r="R52" s="445" t="s">
        <v>973</v>
      </c>
      <c r="S52" s="2748" t="b">
        <f>AND(J52="○",OR(AND(W53,J53="○"),NOT(W53)))</f>
        <v>0</v>
      </c>
      <c r="T52" s="446" t="str">
        <f>$BS$6</f>
        <v>副園長</v>
      </c>
      <c r="U52" s="407">
        <f>IFERROR(VLOOKUP($F52,$AV$8:$AY$108,4,FALSE),0)</f>
        <v>0</v>
      </c>
      <c r="V52" s="446">
        <v>1</v>
      </c>
      <c r="W52" s="446" t="b">
        <f>Q52</f>
        <v>0</v>
      </c>
      <c r="X52" s="439" t="b">
        <f t="shared" ca="1" si="33"/>
        <v>0</v>
      </c>
      <c r="Y52" s="440" t="b">
        <f>COUNTIF($AD$30:AD51,AD52)+COUNTIF(AD53:$AD$147,AD52)-COUNTIF(Z52:AC52,AD52)=0</f>
        <v>0</v>
      </c>
      <c r="Z52" s="976">
        <f>AD34</f>
        <v>0</v>
      </c>
      <c r="AA52" s="976">
        <f>AD36</f>
        <v>0</v>
      </c>
      <c r="AB52" s="976">
        <f>AD48</f>
        <v>0</v>
      </c>
      <c r="AC52" s="976">
        <f>AD49</f>
        <v>0</v>
      </c>
      <c r="AD52" s="972">
        <f>IF(V52=3,0,IFERROR(INDEX($AU$8:$AU$106,MATCH($F52,AV$8:AV$106,0),1),0))</f>
        <v>0</v>
      </c>
      <c r="AE52" s="248" t="b">
        <f t="shared" si="34"/>
        <v>0</v>
      </c>
      <c r="AF52" s="783" t="b">
        <f t="shared" si="54"/>
        <v>0</v>
      </c>
      <c r="AG52" s="446" t="s">
        <v>804</v>
      </c>
      <c r="AH52" s="446" t="s">
        <v>804</v>
      </c>
      <c r="AI52" s="446">
        <v>1</v>
      </c>
      <c r="AJ52" s="248">
        <f t="shared" si="72"/>
        <v>2</v>
      </c>
      <c r="AK52" s="249">
        <f t="shared" si="35"/>
        <v>0</v>
      </c>
      <c r="AU52" s="247">
        <f t="shared" si="1"/>
        <v>45</v>
      </c>
      <c r="AV52" s="170" t="str">
        <f>AU52&amp;" "&amp;IF(AX52&lt;&gt;"-",'【様式2】職員名簿 '!B88&amp;"/"&amp;AW52&amp;"/"&amp;AX52,"")</f>
        <v xml:space="preserve">45 </v>
      </c>
      <c r="AW52" s="170">
        <f>'【様式2】職員名簿 '!F88</f>
        <v>0</v>
      </c>
      <c r="AX52" s="170" t="str">
        <f>IF('【様式2】職員名簿 '!K88="エラー","-",IF(AND('【様式2】職員名簿 '!C88=$AX$3,'【様式2】職員名簿 '!K88=$AX$4),$AX$3,'【様式2】職員名簿 '!K88))</f>
        <v>-</v>
      </c>
      <c r="AY52" s="783">
        <f>IF($AW52="常勤",$AN$2,IF($AW52="非常勤",'【様式2】職員名簿 '!H88,0))</f>
        <v>0</v>
      </c>
      <c r="AZ52" s="406">
        <f>IF($AX52=AZ$3,COUNTIF($AX$8:$AX52,AZ$3),0)</f>
        <v>0</v>
      </c>
      <c r="BA52" s="788" t="str">
        <f t="shared" si="36"/>
        <v/>
      </c>
      <c r="BB52" s="247">
        <f>IF(OR($AX52=BB$3,$AX52=BB$4),COUNTIF($AX$8:$AX52,BB$3)+COUNTIF($AX$8:$AX52,BB$4),0)</f>
        <v>0</v>
      </c>
      <c r="BC52" s="788" t="str">
        <f t="shared" si="37"/>
        <v/>
      </c>
      <c r="BD52" s="407">
        <f>IF(OR($AX52=$BD$4,$AX52=BD$3),COUNTIFS($AX$8:$AX52,BD$3,$AW$8:$AW52,BD$5)+COUNTIFS($AX$8:$AX52,BD$4,$AW$8:$AW52,BD$5),0)</f>
        <v>0</v>
      </c>
      <c r="BE52" s="788" t="str">
        <f t="shared" si="38"/>
        <v/>
      </c>
      <c r="BF52" s="248">
        <f>IF($AX52=BF$3,COUNTIF($AX$8:$AX52,BF$3),0)</f>
        <v>0</v>
      </c>
      <c r="BG52" s="788" t="str">
        <f t="shared" si="39"/>
        <v/>
      </c>
      <c r="BH52" s="247">
        <f>IF(OR($AX52=BH$3,$AX52=BH$4),COUNTIF($AX$8:$AX52,BH$3)+COUNTIF($AX$8:$AX52,BH$4),0)</f>
        <v>0</v>
      </c>
      <c r="BI52" s="788" t="str">
        <f t="shared" si="40"/>
        <v/>
      </c>
      <c r="BJ52" s="247">
        <f>IF($AX52=BJ$4,COUNTIFS($AW$8:$AW52,BJ$3,$AX$8:$AX52,BJ$4),0)</f>
        <v>0</v>
      </c>
      <c r="BK52" s="788" t="str">
        <f t="shared" si="41"/>
        <v/>
      </c>
      <c r="BL52" s="247">
        <f>IF($AX52=BL$3,COUNTIF($AX$8:$AX52,BL$3),0)</f>
        <v>0</v>
      </c>
      <c r="BM52" s="788" t="str">
        <f t="shared" si="42"/>
        <v/>
      </c>
      <c r="BN52" s="247">
        <f>IF($AX52=BN$3,COUNTIF($AX$8:$AX52,BN$3),0)</f>
        <v>0</v>
      </c>
      <c r="BO52" s="788" t="str">
        <f t="shared" si="43"/>
        <v/>
      </c>
      <c r="BP52" s="247">
        <f>IF($AX52&lt;&gt;BP$3,COUNTIF($AX$8:$AX52,"&lt;&gt;"&amp;BP$3),0)</f>
        <v>0</v>
      </c>
      <c r="BQ52" s="788" t="str">
        <f t="shared" si="44"/>
        <v/>
      </c>
      <c r="BR52" s="247">
        <f>IF($AX52=BR$3,COUNTIF($AX$8:$AX52,BR$3),0)</f>
        <v>0</v>
      </c>
      <c r="BS52" s="788" t="str">
        <f t="shared" si="45"/>
        <v/>
      </c>
      <c r="BT52" s="312"/>
      <c r="BU52" s="312"/>
    </row>
    <row r="53" spans="1:73" ht="15" customHeight="1">
      <c r="A53" s="1298"/>
      <c r="B53" s="2701"/>
      <c r="C53" s="457" t="str">
        <f>IF(W53,"補助教諭","")</f>
        <v/>
      </c>
      <c r="D53" s="2673" t="str">
        <f>IF(W53,T53,"")</f>
        <v/>
      </c>
      <c r="E53" s="2674"/>
      <c r="F53" s="2676"/>
      <c r="G53" s="2864"/>
      <c r="H53" s="2864"/>
      <c r="I53" s="888" t="str">
        <f>IF(OR(NOT(W53),U53=0),"","【"&amp;U53&amp;"h】")</f>
        <v/>
      </c>
      <c r="J53" s="458" t="str">
        <f t="shared" si="50"/>
        <v/>
      </c>
      <c r="K53" s="474" t="s">
        <v>973</v>
      </c>
      <c r="L53" s="792" t="str">
        <f>IF(AJ53=1,"調整①→",IF(AJ53=5,"調整②→",IF(AJ53=2,"",IF(AJ53=3,"全計上→","エラー"))))</f>
        <v/>
      </c>
      <c r="M53" s="459">
        <f t="shared" si="84"/>
        <v>0</v>
      </c>
      <c r="N53" s="460" t="str">
        <f t="shared" si="31"/>
        <v>×</v>
      </c>
      <c r="O53" s="2662" t="str">
        <f t="shared" ref="O53" si="86">IF(Q53,IF(S53,"○","×"),"-")</f>
        <v>-</v>
      </c>
      <c r="P53" s="436"/>
      <c r="Q53" s="463" t="b">
        <f>AND(Q52,R53)</f>
        <v>0</v>
      </c>
      <c r="R53" s="445" t="b">
        <f>AND(M31&lt;1,【様式１】総括表・個票!AA103="×",【様式１】総括表・個票!AA104="×")</f>
        <v>0</v>
      </c>
      <c r="S53" s="2749"/>
      <c r="T53" s="446" t="str">
        <f t="shared" ref="T53" si="87">$BC$6</f>
        <v>保育教諭</v>
      </c>
      <c r="U53" s="407">
        <f>IFERROR(VLOOKUP($F53,$AV$8:$AY$108,4,FALSE),0)</f>
        <v>0</v>
      </c>
      <c r="V53" s="446">
        <v>1</v>
      </c>
      <c r="W53" s="446" t="b">
        <f>Q53</f>
        <v>0</v>
      </c>
      <c r="X53" s="439" t="b">
        <f t="shared" ca="1" si="33"/>
        <v>0</v>
      </c>
      <c r="Y53" s="440" t="b">
        <f>COUNTIF($AD$30:AD52,AD53)+COUNTIF(AD54:$AD$147,AD53)-COUNTIF(Z53:AC53,AD53)=0</f>
        <v>0</v>
      </c>
      <c r="Z53" s="976" t="s">
        <v>804</v>
      </c>
      <c r="AA53" s="976" t="s">
        <v>804</v>
      </c>
      <c r="AB53" s="976" t="s">
        <v>804</v>
      </c>
      <c r="AC53" s="976" t="s">
        <v>804</v>
      </c>
      <c r="AD53" s="972">
        <f>IF(V53=3,0,IFERROR(INDEX($AU$8:$AU$106,MATCH($F53,AV$8:AV$106,0),1),0))</f>
        <v>0</v>
      </c>
      <c r="AE53" s="248" t="b">
        <f t="shared" si="34"/>
        <v>0</v>
      </c>
      <c r="AF53" s="783" t="b">
        <f t="shared" si="54"/>
        <v>0</v>
      </c>
      <c r="AG53" s="446" t="s">
        <v>804</v>
      </c>
      <c r="AH53" s="446" t="s">
        <v>804</v>
      </c>
      <c r="AI53" s="446">
        <v>1</v>
      </c>
      <c r="AJ53" s="248">
        <f t="shared" si="72"/>
        <v>2</v>
      </c>
      <c r="AK53" s="249">
        <f t="shared" si="35"/>
        <v>0</v>
      </c>
      <c r="AU53" s="247">
        <f t="shared" si="1"/>
        <v>46</v>
      </c>
      <c r="AV53" s="170" t="str">
        <f>AU53&amp;" "&amp;IF(AX53&lt;&gt;"-",'【様式2】職員名簿 '!B89&amp;"/"&amp;AW53&amp;"/"&amp;AX53,"")</f>
        <v xml:space="preserve">46 </v>
      </c>
      <c r="AW53" s="170">
        <f>'【様式2】職員名簿 '!F89</f>
        <v>0</v>
      </c>
      <c r="AX53" s="170" t="str">
        <f>IF('【様式2】職員名簿 '!K89="エラー","-",IF(AND('【様式2】職員名簿 '!C89=$AX$3,'【様式2】職員名簿 '!K89=$AX$4),$AX$3,'【様式2】職員名簿 '!K89))</f>
        <v>-</v>
      </c>
      <c r="AY53" s="783">
        <f>IF($AW53="常勤",$AN$2,IF($AW53="非常勤",'【様式2】職員名簿 '!H89,0))</f>
        <v>0</v>
      </c>
      <c r="AZ53" s="406">
        <f>IF($AX53=AZ$3,COUNTIF($AX$8:$AX53,AZ$3),0)</f>
        <v>0</v>
      </c>
      <c r="BA53" s="788" t="str">
        <f t="shared" si="36"/>
        <v/>
      </c>
      <c r="BB53" s="247">
        <f>IF(OR($AX53=BB$3,$AX53=BB$4),COUNTIF($AX$8:$AX53,BB$3)+COUNTIF($AX$8:$AX53,BB$4),0)</f>
        <v>0</v>
      </c>
      <c r="BC53" s="788" t="str">
        <f t="shared" si="37"/>
        <v/>
      </c>
      <c r="BD53" s="407">
        <f>IF(OR($AX53=$BD$4,$AX53=BD$3),COUNTIFS($AX$8:$AX53,BD$3,$AW$8:$AW53,BD$5)+COUNTIFS($AX$8:$AX53,BD$4,$AW$8:$AW53,BD$5),0)</f>
        <v>0</v>
      </c>
      <c r="BE53" s="788" t="str">
        <f t="shared" si="38"/>
        <v/>
      </c>
      <c r="BF53" s="248">
        <f>IF($AX53=BF$3,COUNTIF($AX$8:$AX53,BF$3),0)</f>
        <v>0</v>
      </c>
      <c r="BG53" s="788" t="str">
        <f t="shared" si="39"/>
        <v/>
      </c>
      <c r="BH53" s="247">
        <f>IF(OR($AX53=BH$3,$AX53=BH$4),COUNTIF($AX$8:$AX53,BH$3)+COUNTIF($AX$8:$AX53,BH$4),0)</f>
        <v>0</v>
      </c>
      <c r="BI53" s="788" t="str">
        <f t="shared" si="40"/>
        <v/>
      </c>
      <c r="BJ53" s="247">
        <f>IF($AX53=BJ$4,COUNTIFS($AW$8:$AW53,BJ$3,$AX$8:$AX53,BJ$4),0)</f>
        <v>0</v>
      </c>
      <c r="BK53" s="788" t="str">
        <f t="shared" si="41"/>
        <v/>
      </c>
      <c r="BL53" s="247">
        <f>IF($AX53=BL$3,COUNTIF($AX$8:$AX53,BL$3),0)</f>
        <v>0</v>
      </c>
      <c r="BM53" s="788" t="str">
        <f t="shared" si="42"/>
        <v/>
      </c>
      <c r="BN53" s="247">
        <f>IF($AX53=BN$3,COUNTIF($AX$8:$AX53,BN$3),0)</f>
        <v>0</v>
      </c>
      <c r="BO53" s="788" t="str">
        <f t="shared" si="43"/>
        <v/>
      </c>
      <c r="BP53" s="247">
        <f>IF($AX53&lt;&gt;BP$3,COUNTIF($AX$8:$AX53,"&lt;&gt;"&amp;BP$3),0)</f>
        <v>0</v>
      </c>
      <c r="BQ53" s="788" t="str">
        <f t="shared" si="44"/>
        <v/>
      </c>
      <c r="BR53" s="247">
        <f>IF($AX53=BR$3,COUNTIF($AX$8:$AX53,BR$3),0)</f>
        <v>0</v>
      </c>
      <c r="BS53" s="788" t="str">
        <f t="shared" si="45"/>
        <v/>
      </c>
      <c r="BT53" s="312"/>
      <c r="BU53" s="312"/>
    </row>
    <row r="54" spans="1:73" ht="15" customHeight="1">
      <c r="A54" s="1298"/>
      <c r="B54" s="2815" t="s">
        <v>998</v>
      </c>
      <c r="C54" s="2816"/>
      <c r="D54" s="2732" t="str">
        <f>IF(W54,T54,"")</f>
        <v/>
      </c>
      <c r="E54" s="2858"/>
      <c r="F54" s="2851" t="str">
        <f>IF(W54,"利用定員（1・2号）が36人以上300人以下の場合1人","")</f>
        <v/>
      </c>
      <c r="G54" s="2852"/>
      <c r="H54" s="2852"/>
      <c r="I54" s="2852"/>
      <c r="J54" s="2852"/>
      <c r="K54" s="2853"/>
      <c r="L54" s="481" t="s">
        <v>750</v>
      </c>
      <c r="M54" s="480" t="s">
        <v>750</v>
      </c>
      <c r="N54" s="754" t="str">
        <f t="shared" si="31"/>
        <v>×</v>
      </c>
      <c r="O54" s="775" t="str">
        <f>IF(Q54,IF(S54,"○","×"),"-")</f>
        <v>-</v>
      </c>
      <c r="P54" s="436"/>
      <c r="Q54" s="975" t="b">
        <f>【様式１】総括表・個票!AI113</f>
        <v>0</v>
      </c>
      <c r="R54" s="998" t="b">
        <f>【様式１】総括表・個票!AI115</f>
        <v>0</v>
      </c>
      <c r="S54" s="445" t="b">
        <f>$O$167&gt;=0</f>
        <v>0</v>
      </c>
      <c r="T54" s="446" t="str">
        <f t="shared" ref="T54:T74" si="88">$BC$6</f>
        <v>保育教諭</v>
      </c>
      <c r="U54" s="407" t="s">
        <v>832</v>
      </c>
      <c r="V54" s="446" t="s">
        <v>832</v>
      </c>
      <c r="W54" s="446" t="b">
        <f>AND(Q54,R54)</f>
        <v>0</v>
      </c>
      <c r="X54" s="439" t="s">
        <v>750</v>
      </c>
      <c r="Y54" s="440" t="s">
        <v>750</v>
      </c>
      <c r="Z54" s="976" t="s">
        <v>804</v>
      </c>
      <c r="AA54" s="976" t="s">
        <v>804</v>
      </c>
      <c r="AB54" s="976" t="s">
        <v>804</v>
      </c>
      <c r="AC54" s="976" t="s">
        <v>804</v>
      </c>
      <c r="AD54" s="454" t="s">
        <v>750</v>
      </c>
      <c r="AE54" s="248" t="b">
        <f>U54&gt;0</f>
        <v>1</v>
      </c>
      <c r="AF54" s="783" t="b">
        <f t="shared" si="54"/>
        <v>0</v>
      </c>
      <c r="AG54" s="446" t="s">
        <v>804</v>
      </c>
      <c r="AH54" s="446" t="s">
        <v>804</v>
      </c>
      <c r="AI54" s="446" t="s">
        <v>750</v>
      </c>
      <c r="AJ54" s="248" t="s">
        <v>804</v>
      </c>
      <c r="AK54" s="249" t="s">
        <v>804</v>
      </c>
      <c r="AU54" s="247">
        <f t="shared" si="1"/>
        <v>47</v>
      </c>
      <c r="AV54" s="170" t="str">
        <f>AU54&amp;" "&amp;IF(AX54&lt;&gt;"-",'【様式2】職員名簿 '!B90&amp;"/"&amp;AW54&amp;"/"&amp;AX54,"")</f>
        <v xml:space="preserve">47 </v>
      </c>
      <c r="AW54" s="170">
        <f>'【様式2】職員名簿 '!F90</f>
        <v>0</v>
      </c>
      <c r="AX54" s="170" t="str">
        <f>IF('【様式2】職員名簿 '!K90="エラー","-",IF(AND('【様式2】職員名簿 '!C90=$AX$3,'【様式2】職員名簿 '!K90=$AX$4),$AX$3,'【様式2】職員名簿 '!K90))</f>
        <v>-</v>
      </c>
      <c r="AY54" s="783">
        <f>IF($AW54="常勤",$AN$2,IF($AW54="非常勤",'【様式2】職員名簿 '!H90,0))</f>
        <v>0</v>
      </c>
      <c r="AZ54" s="406">
        <f>IF($AX54=AZ$3,COUNTIF($AX$8:$AX54,AZ$3),0)</f>
        <v>0</v>
      </c>
      <c r="BA54" s="788" t="str">
        <f t="shared" si="36"/>
        <v/>
      </c>
      <c r="BB54" s="247">
        <f>IF(OR($AX54=BB$3,$AX54=BB$4),COUNTIF($AX$8:$AX54,BB$3)+COUNTIF($AX$8:$AX54,BB$4),0)</f>
        <v>0</v>
      </c>
      <c r="BC54" s="788" t="str">
        <f t="shared" si="37"/>
        <v/>
      </c>
      <c r="BD54" s="407">
        <f>IF(OR($AX54=$BD$4,$AX54=BD$3),COUNTIFS($AX$8:$AX54,BD$3,$AW$8:$AW54,BD$5)+COUNTIFS($AX$8:$AX54,BD$4,$AW$8:$AW54,BD$5),0)</f>
        <v>0</v>
      </c>
      <c r="BE54" s="788" t="str">
        <f t="shared" si="38"/>
        <v/>
      </c>
      <c r="BF54" s="248">
        <f>IF($AX54=BF$3,COUNTIF($AX$8:$AX54,BF$3),0)</f>
        <v>0</v>
      </c>
      <c r="BG54" s="788" t="str">
        <f t="shared" si="39"/>
        <v/>
      </c>
      <c r="BH54" s="247">
        <f>IF(OR($AX54=BH$3,$AX54=BH$4),COUNTIF($AX$8:$AX54,BH$3)+COUNTIF($AX$8:$AX54,BH$4),0)</f>
        <v>0</v>
      </c>
      <c r="BI54" s="788" t="str">
        <f t="shared" si="40"/>
        <v/>
      </c>
      <c r="BJ54" s="247">
        <f>IF($AX54=BJ$4,COUNTIFS($AW$8:$AW54,BJ$3,$AX$8:$AX54,BJ$4),0)</f>
        <v>0</v>
      </c>
      <c r="BK54" s="788" t="str">
        <f t="shared" si="41"/>
        <v/>
      </c>
      <c r="BL54" s="247">
        <f>IF($AX54=BL$3,COUNTIF($AX$8:$AX54,BL$3),0)</f>
        <v>0</v>
      </c>
      <c r="BM54" s="788" t="str">
        <f t="shared" si="42"/>
        <v/>
      </c>
      <c r="BN54" s="247">
        <f>IF($AX54=BN$3,COUNTIF($AX$8:$AX54,BN$3),0)</f>
        <v>0</v>
      </c>
      <c r="BO54" s="788" t="str">
        <f t="shared" si="43"/>
        <v/>
      </c>
      <c r="BP54" s="247">
        <f>IF($AX54&lt;&gt;BP$3,COUNTIF($AX$8:$AX54,"&lt;&gt;"&amp;BP$3),0)</f>
        <v>0</v>
      </c>
      <c r="BQ54" s="788" t="str">
        <f t="shared" si="44"/>
        <v/>
      </c>
      <c r="BR54" s="247">
        <f>IF($AX54=BR$3,COUNTIF($AX$8:$AX54,BR$3),0)</f>
        <v>0</v>
      </c>
      <c r="BS54" s="788" t="str">
        <f t="shared" si="45"/>
        <v/>
      </c>
      <c r="BT54" s="312"/>
      <c r="BU54" s="312"/>
    </row>
    <row r="55" spans="1:73" ht="15" customHeight="1">
      <c r="A55" s="1298"/>
      <c r="B55" s="2701" t="s">
        <v>100</v>
      </c>
      <c r="C55" s="2860"/>
      <c r="D55" s="2732" t="str">
        <f>IF(W55,T55,"")</f>
        <v/>
      </c>
      <c r="E55" s="2858"/>
      <c r="F55" s="2851" t="str">
        <f>IF(N55="○","３歳児について1：15","３歳児について1：20")</f>
        <v>３歳児について1：20</v>
      </c>
      <c r="G55" s="2852"/>
      <c r="H55" s="2852"/>
      <c r="I55" s="2852"/>
      <c r="J55" s="2852"/>
      <c r="K55" s="2853"/>
      <c r="L55" s="481" t="s">
        <v>835</v>
      </c>
      <c r="M55" s="480" t="s">
        <v>835</v>
      </c>
      <c r="N55" s="974" t="str">
        <f t="shared" si="31"/>
        <v>×</v>
      </c>
      <c r="O55" s="482" t="str">
        <f>IF(Q55,IF(S55,"○","×"),"-")</f>
        <v>-</v>
      </c>
      <c r="P55" s="436"/>
      <c r="Q55" s="446" t="b">
        <f>【様式１】総括表・個票!AI120</f>
        <v>0</v>
      </c>
      <c r="R55" s="445" t="s">
        <v>836</v>
      </c>
      <c r="S55" s="445" t="b">
        <f>$O$167&gt;=0</f>
        <v>0</v>
      </c>
      <c r="T55" s="446" t="str">
        <f t="shared" si="88"/>
        <v>保育教諭</v>
      </c>
      <c r="U55" s="407" t="s">
        <v>832</v>
      </c>
      <c r="V55" s="446" t="s">
        <v>832</v>
      </c>
      <c r="W55" s="446" t="b">
        <f>Q55</f>
        <v>0</v>
      </c>
      <c r="X55" s="439" t="s">
        <v>750</v>
      </c>
      <c r="Y55" s="440" t="s">
        <v>750</v>
      </c>
      <c r="Z55" s="976" t="s">
        <v>804</v>
      </c>
      <c r="AA55" s="976" t="s">
        <v>804</v>
      </c>
      <c r="AB55" s="976" t="s">
        <v>804</v>
      </c>
      <c r="AC55" s="976" t="s">
        <v>804</v>
      </c>
      <c r="AD55" s="454" t="s">
        <v>750</v>
      </c>
      <c r="AE55" s="248" t="b">
        <f>U55&gt;0</f>
        <v>1</v>
      </c>
      <c r="AF55" s="783" t="b">
        <f t="shared" si="54"/>
        <v>0</v>
      </c>
      <c r="AG55" s="446" t="s">
        <v>804</v>
      </c>
      <c r="AH55" s="446" t="s">
        <v>804</v>
      </c>
      <c r="AI55" s="446" t="s">
        <v>750</v>
      </c>
      <c r="AJ55" s="248" t="s">
        <v>804</v>
      </c>
      <c r="AK55" s="249" t="s">
        <v>804</v>
      </c>
      <c r="AU55" s="247">
        <f t="shared" si="1"/>
        <v>48</v>
      </c>
      <c r="AV55" s="170" t="str">
        <f>AU55&amp;" "&amp;IF(AX55&lt;&gt;"-",'【様式2】職員名簿 '!B91&amp;"/"&amp;AW55&amp;"/"&amp;AX55,"")</f>
        <v xml:space="preserve">48 </v>
      </c>
      <c r="AW55" s="170">
        <f>'【様式2】職員名簿 '!F91</f>
        <v>0</v>
      </c>
      <c r="AX55" s="170" t="str">
        <f>IF('【様式2】職員名簿 '!K91="エラー","-",IF(AND('【様式2】職員名簿 '!C91=$AX$3,'【様式2】職員名簿 '!K91=$AX$4),$AX$3,'【様式2】職員名簿 '!K91))</f>
        <v>-</v>
      </c>
      <c r="AY55" s="783">
        <f>IF($AW55="常勤",$AN$2,IF($AW55="非常勤",'【様式2】職員名簿 '!H91,0))</f>
        <v>0</v>
      </c>
      <c r="AZ55" s="406">
        <f>IF($AX55=AZ$3,COUNTIF($AX$8:$AX55,AZ$3),0)</f>
        <v>0</v>
      </c>
      <c r="BA55" s="788" t="str">
        <f t="shared" si="36"/>
        <v/>
      </c>
      <c r="BB55" s="247">
        <f>IF(OR($AX55=BB$3,$AX55=BB$4),COUNTIF($AX$8:$AX55,BB$3)+COUNTIF($AX$8:$AX55,BB$4),0)</f>
        <v>0</v>
      </c>
      <c r="BC55" s="788" t="str">
        <f t="shared" si="37"/>
        <v/>
      </c>
      <c r="BD55" s="407">
        <f>IF(OR($AX55=$BD$4,$AX55=BD$3),COUNTIFS($AX$8:$AX55,BD$3,$AW$8:$AW55,BD$5)+COUNTIFS($AX$8:$AX55,BD$4,$AW$8:$AW55,BD$5),0)</f>
        <v>0</v>
      </c>
      <c r="BE55" s="788" t="str">
        <f t="shared" si="38"/>
        <v/>
      </c>
      <c r="BF55" s="248">
        <f>IF($AX55=BF$3,COUNTIF($AX$8:$AX55,BF$3),0)</f>
        <v>0</v>
      </c>
      <c r="BG55" s="788" t="str">
        <f t="shared" si="39"/>
        <v/>
      </c>
      <c r="BH55" s="247">
        <f>IF(OR($AX55=BH$3,$AX55=BH$4),COUNTIF($AX$8:$AX55,BH$3)+COUNTIF($AX$8:$AX55,BH$4),0)</f>
        <v>0</v>
      </c>
      <c r="BI55" s="788" t="str">
        <f t="shared" si="40"/>
        <v/>
      </c>
      <c r="BJ55" s="247">
        <f>IF($AX55=BJ$4,COUNTIFS($AW$8:$AW55,BJ$3,$AX$8:$AX55,BJ$4),0)</f>
        <v>0</v>
      </c>
      <c r="BK55" s="788" t="str">
        <f t="shared" si="41"/>
        <v/>
      </c>
      <c r="BL55" s="247">
        <f>IF($AX55=BL$3,COUNTIF($AX$8:$AX55,BL$3),0)</f>
        <v>0</v>
      </c>
      <c r="BM55" s="788" t="str">
        <f t="shared" si="42"/>
        <v/>
      </c>
      <c r="BN55" s="247">
        <f>IF($AX55=BN$3,COUNTIF($AX$8:$AX55,BN$3),0)</f>
        <v>0</v>
      </c>
      <c r="BO55" s="788" t="str">
        <f t="shared" si="43"/>
        <v/>
      </c>
      <c r="BP55" s="247">
        <f>IF($AX55&lt;&gt;BP$3,COUNTIF($AX$8:$AX55,"&lt;&gt;"&amp;BP$3),0)</f>
        <v>0</v>
      </c>
      <c r="BQ55" s="788" t="str">
        <f t="shared" si="44"/>
        <v/>
      </c>
      <c r="BR55" s="247">
        <f>IF($AX55=BR$3,COUNTIF($AX$8:$AX55,BR$3),0)</f>
        <v>0</v>
      </c>
      <c r="BS55" s="788" t="str">
        <f t="shared" si="45"/>
        <v/>
      </c>
      <c r="BT55" s="312"/>
      <c r="BU55" s="312"/>
    </row>
    <row r="56" spans="1:73" ht="15" customHeight="1">
      <c r="A56" s="1298"/>
      <c r="B56" s="2861" t="s">
        <v>1543</v>
      </c>
      <c r="C56" s="2862"/>
      <c r="D56" s="2732" t="str">
        <f>IF(W56,T56,"")</f>
        <v/>
      </c>
      <c r="E56" s="2858"/>
      <c r="F56" s="3175" t="str">
        <f>IF(N56="○","４歳以上児について1：25","４歳以上児について1：30")</f>
        <v>４歳以上児について1：30</v>
      </c>
      <c r="G56" s="3176"/>
      <c r="H56" s="3176"/>
      <c r="I56" s="3176"/>
      <c r="J56" s="3176"/>
      <c r="K56" s="3177"/>
      <c r="L56" s="1300" t="s">
        <v>750</v>
      </c>
      <c r="M56" s="1290" t="s">
        <v>750</v>
      </c>
      <c r="N56" s="1287" t="str">
        <f>IF(Q56,"○","×")</f>
        <v>×</v>
      </c>
      <c r="O56" s="1288" t="str">
        <f>IF(Q56,IF(AND(S56,NOT(R56)),"○","×"),"-")</f>
        <v>-</v>
      </c>
      <c r="P56" s="436"/>
      <c r="Q56" s="446" t="b">
        <f>【様式１】総括表・個票!AI126</f>
        <v>0</v>
      </c>
      <c r="R56" s="445" t="b">
        <f>【様式１】総括表・個票!AI170</f>
        <v>0</v>
      </c>
      <c r="S56" s="445" t="b">
        <f>$O$167&gt;=0</f>
        <v>0</v>
      </c>
      <c r="T56" s="446" t="str">
        <f t="shared" si="88"/>
        <v>保育教諭</v>
      </c>
      <c r="U56" s="407" t="s">
        <v>750</v>
      </c>
      <c r="V56" s="446" t="s">
        <v>750</v>
      </c>
      <c r="W56" s="446" t="b">
        <f>Q56</f>
        <v>0</v>
      </c>
      <c r="X56" s="439" t="s">
        <v>750</v>
      </c>
      <c r="Y56" s="440" t="s">
        <v>750</v>
      </c>
      <c r="Z56" s="1289" t="s">
        <v>804</v>
      </c>
      <c r="AA56" s="1289" t="s">
        <v>804</v>
      </c>
      <c r="AB56" s="1289" t="s">
        <v>804</v>
      </c>
      <c r="AC56" s="1289" t="s">
        <v>804</v>
      </c>
      <c r="AD56" s="454" t="s">
        <v>750</v>
      </c>
      <c r="AE56" s="248" t="b">
        <f>U56&gt;0</f>
        <v>1</v>
      </c>
      <c r="AF56" s="783" t="b">
        <f t="shared" si="54"/>
        <v>0</v>
      </c>
      <c r="AG56" s="446" t="s">
        <v>804</v>
      </c>
      <c r="AH56" s="446" t="s">
        <v>804</v>
      </c>
      <c r="AI56" s="446" t="s">
        <v>750</v>
      </c>
      <c r="AJ56" s="248" t="s">
        <v>804</v>
      </c>
      <c r="AK56" s="249" t="s">
        <v>804</v>
      </c>
      <c r="AU56" s="790">
        <f t="shared" si="1"/>
        <v>49</v>
      </c>
      <c r="AV56" s="169" t="str">
        <f>AU56&amp;" "&amp;IF(AX56&lt;&gt;"-",'【様式2】職員名簿 '!B92&amp;"/"&amp;AW56&amp;"/"&amp;AX56,"")</f>
        <v xml:space="preserve">49 </v>
      </c>
      <c r="AW56" s="169">
        <f>'【様式2】職員名簿 '!F92</f>
        <v>0</v>
      </c>
      <c r="AX56" s="169" t="str">
        <f>IF('【様式2】職員名簿 '!K92="エラー","-",IF(AND('【様式2】職員名簿 '!C92=$AX$3,'【様式2】職員名簿 '!K92=$AX$4),$AX$3,'【様式2】職員名簿 '!K92))</f>
        <v>-</v>
      </c>
      <c r="AY56" s="1340">
        <f>IF($AW56="常勤",$AN$2,IF($AW56="非常勤",'【様式2】職員名簿 '!H92,0))</f>
        <v>0</v>
      </c>
      <c r="AZ56" s="1341">
        <f>IF($AX56=AZ$3,COUNTIF($AX$8:$AX56,AZ$3),0)</f>
        <v>0</v>
      </c>
      <c r="BA56" s="1342" t="str">
        <f t="shared" si="36"/>
        <v/>
      </c>
      <c r="BB56" s="790">
        <f>IF(OR($AX56=BB$3,$AX56=BB$4),COUNTIF($AX$8:$AX56,BB$3)+COUNTIF($AX$8:$AX56,BB$4),0)</f>
        <v>0</v>
      </c>
      <c r="BC56" s="1342" t="str">
        <f t="shared" si="37"/>
        <v/>
      </c>
      <c r="BD56" s="1343">
        <f>IF(OR($AX56=$BD$4,$AX56=BD$3),COUNTIFS($AX$8:$AX56,BD$3,$AW$8:$AW56,BD$5)+COUNTIFS($AX$8:$AX56,BD$4,$AW$8:$AW56,BD$5),0)</f>
        <v>0</v>
      </c>
      <c r="BE56" s="1342" t="str">
        <f t="shared" si="38"/>
        <v/>
      </c>
      <c r="BF56" s="142">
        <f>IF($AX56=BF$3,COUNTIF($AX$8:$AX56,BF$3),0)</f>
        <v>0</v>
      </c>
      <c r="BG56" s="1342" t="str">
        <f t="shared" si="39"/>
        <v/>
      </c>
      <c r="BH56" s="790">
        <f>IF(OR($AX56=BH$3,$AX56=BH$4),COUNTIF($AX$8:$AX56,BH$3)+COUNTIF($AX$8:$AX56,BH$4),0)</f>
        <v>0</v>
      </c>
      <c r="BI56" s="1342" t="str">
        <f t="shared" si="40"/>
        <v/>
      </c>
      <c r="BJ56" s="790">
        <f>IF($AX56=BJ$4,COUNTIFS($AW$8:$AW56,BJ$3,$AX$8:$AX56,BJ$4),0)</f>
        <v>0</v>
      </c>
      <c r="BK56" s="1342" t="str">
        <f t="shared" si="41"/>
        <v/>
      </c>
      <c r="BL56" s="790">
        <f>IF($AX56=BL$3,COUNTIF($AX$8:$AX56,BL$3),0)</f>
        <v>0</v>
      </c>
      <c r="BM56" s="1342" t="str">
        <f t="shared" si="42"/>
        <v/>
      </c>
      <c r="BN56" s="790">
        <f>IF($AX56=BN$3,COUNTIF($AX$8:$AX56,BN$3),0)</f>
        <v>0</v>
      </c>
      <c r="BO56" s="1342" t="str">
        <f t="shared" si="43"/>
        <v/>
      </c>
      <c r="BP56" s="790">
        <f>IF($AX56&lt;&gt;BP$3,COUNTIF($AX$8:$AX56,"&lt;&gt;"&amp;BP$3),0)</f>
        <v>0</v>
      </c>
      <c r="BQ56" s="1342" t="str">
        <f t="shared" si="44"/>
        <v/>
      </c>
      <c r="BR56" s="790">
        <f>IF($AX56=BR$3,COUNTIF($AX$8:$AX56,BR$3),0)</f>
        <v>0</v>
      </c>
      <c r="BS56" s="1342" t="str">
        <f t="shared" si="45"/>
        <v/>
      </c>
      <c r="BT56" s="312"/>
      <c r="BU56" s="312"/>
    </row>
    <row r="57" spans="1:73" ht="15" customHeight="1">
      <c r="A57" s="1298"/>
      <c r="B57" s="2863" t="s">
        <v>1593</v>
      </c>
      <c r="C57" s="2703"/>
      <c r="D57" s="2746" t="str">
        <f>IF(W57,T57,"")</f>
        <v/>
      </c>
      <c r="E57" s="2747"/>
      <c r="F57" s="2650" t="str">
        <f>IF(AND(N57="○",O57="○"),"１歳児について1：5","１歳児について1：6")</f>
        <v>１歳児について1：6</v>
      </c>
      <c r="G57" s="2651"/>
      <c r="H57" s="2651"/>
      <c r="I57" s="2651"/>
      <c r="J57" s="2651"/>
      <c r="K57" s="2652"/>
      <c r="L57" s="1339" t="s">
        <v>750</v>
      </c>
      <c r="M57" s="1327" t="s">
        <v>750</v>
      </c>
      <c r="N57" s="1324" t="str">
        <f>IF(Q57,"○","×")</f>
        <v>×</v>
      </c>
      <c r="O57" s="1326" t="str">
        <f>IF(Q57,IF(AND(S57,NOT(R57)),"○","×"),"-")</f>
        <v>-</v>
      </c>
      <c r="P57" s="436"/>
      <c r="Q57" s="1328" t="b">
        <f>【様式１】総括表・個票!AI133</f>
        <v>0</v>
      </c>
      <c r="R57" s="1330" t="b">
        <f>IF(AND(【様式１】総括表・個票!AI136,【様式１】総括表・個票!AI137,【様式１】総括表・個票!AI142),FALSE,TRUE)</f>
        <v>1</v>
      </c>
      <c r="S57" s="1330" t="b">
        <f>$O$167&gt;=0</f>
        <v>0</v>
      </c>
      <c r="T57" s="446" t="str">
        <f>$BC$6</f>
        <v>保育教諭</v>
      </c>
      <c r="U57" s="407" t="s">
        <v>750</v>
      </c>
      <c r="V57" s="446" t="s">
        <v>750</v>
      </c>
      <c r="W57" s="446" t="b">
        <f>Q57</f>
        <v>0</v>
      </c>
      <c r="X57" s="439" t="s">
        <v>750</v>
      </c>
      <c r="Y57" s="440" t="s">
        <v>750</v>
      </c>
      <c r="Z57" s="1329" t="s">
        <v>804</v>
      </c>
      <c r="AA57" s="1329" t="s">
        <v>804</v>
      </c>
      <c r="AB57" s="1329" t="s">
        <v>804</v>
      </c>
      <c r="AC57" s="1329" t="s">
        <v>804</v>
      </c>
      <c r="AD57" s="454" t="s">
        <v>750</v>
      </c>
      <c r="AE57" s="248" t="b">
        <f>U57&gt;0</f>
        <v>1</v>
      </c>
      <c r="AF57" s="783" t="b">
        <f t="shared" si="54"/>
        <v>0</v>
      </c>
      <c r="AG57" s="446" t="s">
        <v>750</v>
      </c>
      <c r="AH57" s="446" t="s">
        <v>750</v>
      </c>
      <c r="AI57" s="446" t="s">
        <v>750</v>
      </c>
      <c r="AJ57" s="248" t="s">
        <v>804</v>
      </c>
      <c r="AK57" s="249" t="s">
        <v>804</v>
      </c>
      <c r="AO57" s="461"/>
      <c r="AP57" s="461"/>
      <c r="AR57" s="1345"/>
      <c r="AS57" s="1345"/>
      <c r="AT57" s="1345"/>
      <c r="AU57" s="247">
        <f t="shared" si="1"/>
        <v>50</v>
      </c>
      <c r="AV57" s="1331" t="str">
        <f>AU57&amp;" "&amp;IF(AX57&lt;&gt;"-",'【様式2】職員名簿 '!B93&amp;"/"&amp;AW57&amp;"/"&amp;AX57,"")</f>
        <v xml:space="preserve">50 </v>
      </c>
      <c r="AW57" s="1331">
        <f>'【様式2】職員名簿 '!F93</f>
        <v>0</v>
      </c>
      <c r="AX57" s="1331" t="str">
        <f>IF('【様式2】職員名簿 '!K93="エラー","-",IF(AND('【様式2】職員名簿 '!C93=$AX$3,'【様式2】職員名簿 '!K93=$AX$4),$AX$3,'【様式2】職員名簿 '!K93))</f>
        <v>-</v>
      </c>
      <c r="AY57" s="783">
        <f>IF($AW57="常勤",$AN$2,IF($AW57="非常勤",'【様式2】職員名簿 '!H93,0))</f>
        <v>0</v>
      </c>
      <c r="AZ57" s="406">
        <f>IF($AX57=AZ$3,COUNTIF($AX$8:$AX57,AZ$3),0)</f>
        <v>0</v>
      </c>
      <c r="BA57" s="788" t="str">
        <f t="shared" si="36"/>
        <v/>
      </c>
      <c r="BB57" s="247">
        <f>IF(OR($AX57=BB$3,$AX57=BB$4),COUNTIF($AX$8:$AX57,BB$3)+COUNTIF($AX$8:$AX57,BB$4),0)</f>
        <v>0</v>
      </c>
      <c r="BC57" s="788" t="str">
        <f t="shared" si="37"/>
        <v/>
      </c>
      <c r="BD57" s="407">
        <f>IF(OR($AX57=$BD$4,$AX57=BD$3),COUNTIFS($AX$8:$AX57,BD$3,$AW$8:$AW57,BD$5)+COUNTIFS($AX$8:$AX57,BD$4,$AW$8:$AW57,BD$5),0)</f>
        <v>0</v>
      </c>
      <c r="BE57" s="788" t="str">
        <f t="shared" si="38"/>
        <v/>
      </c>
      <c r="BF57" s="248">
        <f>IF($AX57=BF$3,COUNTIF($AX$8:$AX57,BF$3),0)</f>
        <v>0</v>
      </c>
      <c r="BG57" s="788" t="str">
        <f t="shared" si="39"/>
        <v/>
      </c>
      <c r="BH57" s="247">
        <f>IF(OR($AX57=BH$3,$AX57=BH$4),COUNTIF($AX$8:$AX57,BH$3)+COUNTIF($AX$8:$AX57,BH$4),0)</f>
        <v>0</v>
      </c>
      <c r="BI57" s="788" t="str">
        <f t="shared" si="40"/>
        <v/>
      </c>
      <c r="BJ57" s="247">
        <f>IF($AX57=BJ$4,COUNTIFS($AW$8:$AW57,BJ$3,$AX$8:$AX57,BJ$4),0)</f>
        <v>0</v>
      </c>
      <c r="BK57" s="788" t="str">
        <f t="shared" si="41"/>
        <v/>
      </c>
      <c r="BL57" s="247">
        <f>IF($AX57=BL$3,COUNTIF($AX$8:$AX57,BL$3),0)</f>
        <v>0</v>
      </c>
      <c r="BM57" s="788" t="str">
        <f t="shared" si="42"/>
        <v/>
      </c>
      <c r="BN57" s="247">
        <f>IF($AX57=BN$3,COUNTIF($AX$8:$AX57,BN$3),0)</f>
        <v>0</v>
      </c>
      <c r="BO57" s="788" t="str">
        <f t="shared" si="43"/>
        <v/>
      </c>
      <c r="BP57" s="247">
        <f>IF($AX57&lt;&gt;BP$3,COUNTIF($AX$8:$AX57,"&lt;&gt;"&amp;BP$3),0)</f>
        <v>0</v>
      </c>
      <c r="BQ57" s="788" t="str">
        <f t="shared" si="44"/>
        <v/>
      </c>
      <c r="BR57" s="247">
        <f>IF($AX57=BR$3,COUNTIF($AX$8:$AX57,BR$3),0)</f>
        <v>0</v>
      </c>
      <c r="BS57" s="788" t="str">
        <f t="shared" si="45"/>
        <v/>
      </c>
    </row>
    <row r="58" spans="1:73" ht="15" customHeight="1">
      <c r="A58" s="1298"/>
      <c r="B58" s="2702" t="s">
        <v>101</v>
      </c>
      <c r="C58" s="2703"/>
      <c r="D58" s="2746" t="str">
        <f t="shared" ref="D58:D59" si="89">IF(W58,T58,"")</f>
        <v/>
      </c>
      <c r="E58" s="2747"/>
      <c r="F58" s="2851" t="str">
        <f>IF(W58,"満３歳児について１：６","満３歳については３歳児に含める")</f>
        <v>満３歳については３歳児に含める</v>
      </c>
      <c r="G58" s="2852"/>
      <c r="H58" s="2852"/>
      <c r="I58" s="2852"/>
      <c r="J58" s="2852"/>
      <c r="K58" s="2853"/>
      <c r="L58" s="753" t="s">
        <v>804</v>
      </c>
      <c r="M58" s="752" t="s">
        <v>973</v>
      </c>
      <c r="N58" s="754" t="str">
        <f t="shared" si="31"/>
        <v>×</v>
      </c>
      <c r="O58" s="755" t="str">
        <f t="shared" ref="O58:O63" si="90">IF(Q58,IF(S58,"○","×"),"-")</f>
        <v>-</v>
      </c>
      <c r="P58" s="436"/>
      <c r="Q58" s="446" t="b">
        <f>【様式１】総括表・個票!AI151</f>
        <v>0</v>
      </c>
      <c r="R58" s="445" t="s">
        <v>973</v>
      </c>
      <c r="S58" s="446" t="b">
        <f>$O167&gt;=0</f>
        <v>0</v>
      </c>
      <c r="T58" s="446" t="str">
        <f t="shared" si="88"/>
        <v>保育教諭</v>
      </c>
      <c r="U58" s="407" t="s">
        <v>973</v>
      </c>
      <c r="V58" s="446" t="s">
        <v>804</v>
      </c>
      <c r="W58" s="446" t="b">
        <f>Q58</f>
        <v>0</v>
      </c>
      <c r="X58" s="439" t="s">
        <v>973</v>
      </c>
      <c r="Y58" s="440" t="s">
        <v>973</v>
      </c>
      <c r="Z58" s="976" t="s">
        <v>804</v>
      </c>
      <c r="AA58" s="976" t="s">
        <v>804</v>
      </c>
      <c r="AB58" s="976" t="s">
        <v>804</v>
      </c>
      <c r="AC58" s="976" t="s">
        <v>804</v>
      </c>
      <c r="AD58" s="454" t="s">
        <v>973</v>
      </c>
      <c r="AE58" s="248" t="b">
        <f t="shared" ref="AE58:AE63" si="91">U58&gt;0</f>
        <v>1</v>
      </c>
      <c r="AF58" s="783" t="b">
        <f t="shared" si="54"/>
        <v>0</v>
      </c>
      <c r="AG58" s="446" t="s">
        <v>804</v>
      </c>
      <c r="AH58" s="446" t="s">
        <v>804</v>
      </c>
      <c r="AI58" s="446" t="s">
        <v>804</v>
      </c>
      <c r="AJ58" s="248" t="s">
        <v>804</v>
      </c>
      <c r="AK58" s="249" t="s">
        <v>804</v>
      </c>
      <c r="AR58" s="461"/>
      <c r="AS58" s="461"/>
      <c r="AT58" s="461"/>
      <c r="AU58" s="1344">
        <f t="shared" si="1"/>
        <v>51</v>
      </c>
      <c r="AV58" s="1331" t="str">
        <f>AU58&amp;" "&amp;IF(AX58&lt;&gt;"-",'【様式2】職員名簿 '!B94&amp;"/"&amp;AW58&amp;"/"&amp;AX58,"")</f>
        <v xml:space="preserve">51 </v>
      </c>
      <c r="AW58" s="1331">
        <f>'【様式2】職員名簿 '!F94</f>
        <v>0</v>
      </c>
      <c r="AX58" s="1331" t="str">
        <f>IF('【様式2】職員名簿 '!K94="エラー","-",IF(AND('【様式2】職員名簿 '!C94=$AX$3,'【様式2】職員名簿 '!K94=$AX$4),$AX$3,'【様式2】職員名簿 '!K94))</f>
        <v>-</v>
      </c>
      <c r="AY58" s="783">
        <f>IF($AW58="常勤",$AN$2,IF($AW58="非常勤",'【様式2】職員名簿 '!H94,0))</f>
        <v>0</v>
      </c>
      <c r="AZ58" s="406">
        <f>IF($AX58=AZ$3,COUNTIF($AX$8:$AX58,AZ$3),0)</f>
        <v>0</v>
      </c>
      <c r="BA58" s="788" t="str">
        <f t="shared" ref="BA58:BA107" si="92">IFERROR(INDEX($AV$8:$AV$108,MATCH($AU58,AZ$8:AZ$108,0),1),"")</f>
        <v/>
      </c>
      <c r="BB58" s="247">
        <f>IF(OR($AX58=BB$3,$AX58=BB$4),COUNTIF($AX$8:$AX58,BB$3)+COUNTIF($AX$8:$AX58,BB$4),0)</f>
        <v>0</v>
      </c>
      <c r="BC58" s="788" t="str">
        <f t="shared" ref="BC58:BC107" si="93">IFERROR(INDEX($AV$8:$AV$108,MATCH($AU58,BB$8:BB$108,0),1),"")</f>
        <v/>
      </c>
      <c r="BD58" s="407">
        <f>IF(OR($AX58=$BD$4,$AX58=BD$3),COUNTIFS($AX$8:$AX58,BD$3,$AW$8:$AW58,BD$5)+COUNTIFS($AX$8:$AX58,BD$4,$AW$8:$AW58,BD$5),0)</f>
        <v>0</v>
      </c>
      <c r="BE58" s="788" t="str">
        <f t="shared" ref="BE58:BE107" si="94">IFERROR(INDEX($AV$8:$AV$108,MATCH($AU58,BD$8:BD$108,0),1),"")</f>
        <v/>
      </c>
      <c r="BF58" s="248">
        <f>IF($AX58=BF$3,COUNTIF($AX$8:$AX58,BF$3),0)</f>
        <v>0</v>
      </c>
      <c r="BG58" s="788" t="str">
        <f t="shared" ref="BG58:BG107" si="95">IFERROR(INDEX($AV$8:$AV$108,MATCH($AU58,BF$8:BF$108,0),1),"")</f>
        <v/>
      </c>
      <c r="BH58" s="247">
        <f>IF(OR($AX58=BH$3,$AX58=BH$4),COUNTIF($AX$8:$AX58,BH$3)+COUNTIF($AX$8:$AX58,BH$4),0)</f>
        <v>0</v>
      </c>
      <c r="BI58" s="788" t="str">
        <f t="shared" ref="BI58:BI107" si="96">IFERROR(INDEX($AV$8:$AV$108,MATCH($AU58,BH$8:BH$108,0),1),"")</f>
        <v/>
      </c>
      <c r="BJ58" s="247">
        <f>IF($AX58=BJ$4,COUNTIFS($AW$8:$AW58,BJ$3,$AX$8:$AX58,BJ$4),0)</f>
        <v>0</v>
      </c>
      <c r="BK58" s="788" t="str">
        <f t="shared" ref="BK58:BK107" si="97">IFERROR(INDEX($AV$8:$AV$108,MATCH($AU58,BJ$8:BJ$108,0),1),"")</f>
        <v/>
      </c>
      <c r="BL58" s="247">
        <f>IF($AX58=BL$3,COUNTIF($AX$8:$AX58,BL$3),0)</f>
        <v>0</v>
      </c>
      <c r="BM58" s="788" t="str">
        <f t="shared" ref="BM58:BM107" si="98">IFERROR(INDEX($AV$8:$AV$108,MATCH($AU58,BL$8:BL$108,0),1),"")</f>
        <v/>
      </c>
      <c r="BN58" s="247">
        <f>IF($AX58=BN$3,COUNTIF($AX$8:$AX58,BN$3),0)</f>
        <v>0</v>
      </c>
      <c r="BO58" s="788" t="str">
        <f t="shared" ref="BO58:BO107" si="99">IFERROR(INDEX($AV$8:$AV$108,MATCH($AU58,BN$8:BN$108,0),1),"")</f>
        <v/>
      </c>
      <c r="BP58" s="247">
        <f>IF($AX58&lt;&gt;BP$3,COUNTIF($AX$8:$AX58,"&lt;&gt;"&amp;BP$3),0)</f>
        <v>0</v>
      </c>
      <c r="BQ58" s="788" t="str">
        <f t="shared" ref="BQ58:BQ107" si="100">IFERROR(INDEX($AV$8:$AV$108,MATCH($AU58,BP$8:BP$108,0),1),"")</f>
        <v/>
      </c>
      <c r="BR58" s="247">
        <f>IF($AX58=BR$3,COUNTIF($AX$8:$AX58,BR$3),0)</f>
        <v>0</v>
      </c>
      <c r="BS58" s="788" t="str">
        <f t="shared" ref="BS58:BS107" si="101">IFERROR(INDEX($AV$8:$AV$108,MATCH($AU58,BR$8:BR$108,0),1),"")</f>
        <v/>
      </c>
      <c r="BT58" s="312"/>
      <c r="BU58" s="312"/>
    </row>
    <row r="59" spans="1:73" ht="15" customHeight="1">
      <c r="A59" s="1298"/>
      <c r="B59" s="2702" t="s">
        <v>78</v>
      </c>
      <c r="C59" s="2703"/>
      <c r="D59" s="2746" t="str">
        <f t="shared" si="89"/>
        <v/>
      </c>
      <c r="E59" s="2747"/>
      <c r="F59" s="2671"/>
      <c r="G59" s="2671"/>
      <c r="H59" s="2672"/>
      <c r="I59" s="893" t="str">
        <f>IF(OR(NOT(W59),U59=0),"","【"&amp;U59&amp;"h】")</f>
        <v/>
      </c>
      <c r="J59" s="752" t="str">
        <f>IF(OR(F59=0,F59=""),"",IF(W59,IF(X59,IF(OR(Y59,V59=3),IF(AE59,IF(OR(AF59,V59=2,V59=3),"○","要常勤"),"時間無"),"重複"),"名簿無"),"対象外"))</f>
        <v/>
      </c>
      <c r="K59" s="906" t="s">
        <v>973</v>
      </c>
      <c r="L59" s="753" t="str">
        <f t="shared" ref="L59" si="102">IF(AJ59=1,"調整①→",IF(AJ59=5,"調整②→",IF(AJ59=2,"",IF(AJ59=3,"全計上→","エラー"))))</f>
        <v/>
      </c>
      <c r="M59" s="756">
        <f>IF(OR(AND(J59&lt;&gt;"",J59&lt;&gt;"○"),AJ59=4),"×",IF(J59="",0,AK59/$AN$2))</f>
        <v>0</v>
      </c>
      <c r="N59" s="754" t="str">
        <f t="shared" ref="N59:N63" si="103">IF(Q59,"○","×")</f>
        <v>×</v>
      </c>
      <c r="O59" s="755" t="str">
        <f t="shared" si="90"/>
        <v>-</v>
      </c>
      <c r="P59" s="436"/>
      <c r="Q59" s="446" t="b">
        <f>【様式１】総括表・個票!AI157</f>
        <v>0</v>
      </c>
      <c r="R59" s="445" t="b">
        <f>【様式１】総括表・個票!AI159</f>
        <v>1</v>
      </c>
      <c r="S59" s="446" t="b">
        <f>AND(J59="○",$O167&gt;=0)</f>
        <v>0</v>
      </c>
      <c r="T59" s="446" t="str">
        <f t="shared" ref="T59" si="104">$BQ$6</f>
        <v>全職種</v>
      </c>
      <c r="U59" s="407">
        <f>IFERROR(VLOOKUP($F59,$AV$8:$AY$108,4,FALSE),0)</f>
        <v>0</v>
      </c>
      <c r="V59" s="446">
        <v>2</v>
      </c>
      <c r="W59" s="446" t="b">
        <f>AND(Q59,R59)</f>
        <v>0</v>
      </c>
      <c r="X59" s="439" t="b">
        <f ca="1">COUNTIF(INDIRECT(T59),F59)&gt;0</f>
        <v>0</v>
      </c>
      <c r="Y59" s="440" t="b">
        <f>COUNTIF($AD$30:AD58,AD59)+COUNTIF(AD60:$AD$147,AD59)-COUNTIF(Z59:AC59,AD59)=0</f>
        <v>0</v>
      </c>
      <c r="Z59" s="976" t="s">
        <v>804</v>
      </c>
      <c r="AA59" s="976" t="s">
        <v>804</v>
      </c>
      <c r="AB59" s="976" t="s">
        <v>804</v>
      </c>
      <c r="AC59" s="976" t="s">
        <v>804</v>
      </c>
      <c r="AD59" s="972">
        <f>IF(V59=3,0,IFERROR(INDEX($AU$8:$AU$106,MATCH($F59,AV$8:AV$106,0),1),0))</f>
        <v>0</v>
      </c>
      <c r="AE59" s="248" t="b">
        <f t="shared" si="91"/>
        <v>0</v>
      </c>
      <c r="AF59" s="783" t="b">
        <f t="shared" si="54"/>
        <v>0</v>
      </c>
      <c r="AG59" s="446" t="s">
        <v>804</v>
      </c>
      <c r="AH59" s="446" t="s">
        <v>804</v>
      </c>
      <c r="AI59" s="446">
        <v>1</v>
      </c>
      <c r="AJ59" s="248">
        <f t="shared" ref="AJ59" si="105">IF(AND($W59,$J59="○"),IF($K59="-",IF($U59&lt;IF($AI59=5,$AM$4,$AM$3),$AI59,2),IF($K59=0,IF($U59&lt;IF($AI59=5,$AM$4,$AM$3),IF(OR($AI59=1,$AI59=5),$AI59,3),3),IF(K59&lt;IF($AI59=5,$AM$4,$AM$3),$AI59,IF($K59&gt;$U59,4,2)))),2)</f>
        <v>2</v>
      </c>
      <c r="AK59" s="249">
        <f t="shared" ref="AK59" si="106">IF(AJ59=1,$AM$3,IF(AJ59=5,$AM$4,IF(AJ59=2,IF(K59="-",U59,K59),IF(AJ59=3,U59,"×"))))</f>
        <v>0</v>
      </c>
      <c r="AR59" s="461"/>
      <c r="AS59" s="461"/>
      <c r="AT59" s="461"/>
      <c r="AU59" s="247">
        <f t="shared" si="1"/>
        <v>52</v>
      </c>
      <c r="AV59" s="1331" t="str">
        <f>AU59&amp;" "&amp;IF(AX59&lt;&gt;"-",'【様式2】職員名簿 '!B95&amp;"/"&amp;AW59&amp;"/"&amp;AX59,"")</f>
        <v xml:space="preserve">52 </v>
      </c>
      <c r="AW59" s="1331">
        <f>'【様式2】職員名簿 '!F95</f>
        <v>0</v>
      </c>
      <c r="AX59" s="1331" t="str">
        <f>IF('【様式2】職員名簿 '!K95="エラー","-",IF(AND('【様式2】職員名簿 '!C95=$AX$3,'【様式2】職員名簿 '!K95=$AX$4),$AX$3,'【様式2】職員名簿 '!K95))</f>
        <v>-</v>
      </c>
      <c r="AY59" s="783">
        <f>IF($AW59="常勤",$AN$2,IF($AW59="非常勤",'【様式2】職員名簿 '!H95,0))</f>
        <v>0</v>
      </c>
      <c r="AZ59" s="406">
        <f>IF($AX59=AZ$3,COUNTIF($AX$8:$AX59,AZ$3),0)</f>
        <v>0</v>
      </c>
      <c r="BA59" s="788" t="str">
        <f t="shared" si="92"/>
        <v/>
      </c>
      <c r="BB59" s="247">
        <f>IF(OR($AX59=BB$3,$AX59=BB$4),COUNTIF($AX$8:$AX59,BB$3)+COUNTIF($AX$8:$AX59,BB$4),0)</f>
        <v>0</v>
      </c>
      <c r="BC59" s="788" t="str">
        <f t="shared" si="93"/>
        <v/>
      </c>
      <c r="BD59" s="407">
        <f>IF(OR($AX59=$BD$4,$AX59=BD$3),COUNTIFS($AX$8:$AX59,BD$3,$AW$8:$AW59,BD$5)+COUNTIFS($AX$8:$AX59,BD$4,$AW$8:$AW59,BD$5),0)</f>
        <v>0</v>
      </c>
      <c r="BE59" s="788" t="str">
        <f t="shared" si="94"/>
        <v/>
      </c>
      <c r="BF59" s="248">
        <f>IF($AX59=BF$3,COUNTIF($AX$8:$AX59,BF$3),0)</f>
        <v>0</v>
      </c>
      <c r="BG59" s="788" t="str">
        <f t="shared" si="95"/>
        <v/>
      </c>
      <c r="BH59" s="247">
        <f>IF(OR($AX59=BH$3,$AX59=BH$4),COUNTIF($AX$8:$AX59,BH$3)+COUNTIF($AX$8:$AX59,BH$4),0)</f>
        <v>0</v>
      </c>
      <c r="BI59" s="788" t="str">
        <f t="shared" si="96"/>
        <v/>
      </c>
      <c r="BJ59" s="247">
        <f>IF($AX59=BJ$4,COUNTIFS($AW$8:$AW59,BJ$3,$AX$8:$AX59,BJ$4),0)</f>
        <v>0</v>
      </c>
      <c r="BK59" s="788" t="str">
        <f t="shared" si="97"/>
        <v/>
      </c>
      <c r="BL59" s="247">
        <f>IF($AX59=BL$3,COUNTIF($AX$8:$AX59,BL$3),0)</f>
        <v>0</v>
      </c>
      <c r="BM59" s="788" t="str">
        <f t="shared" si="98"/>
        <v/>
      </c>
      <c r="BN59" s="247">
        <f>IF($AX59=BN$3,COUNTIF($AX$8:$AX59,BN$3),0)</f>
        <v>0</v>
      </c>
      <c r="BO59" s="788" t="str">
        <f t="shared" si="99"/>
        <v/>
      </c>
      <c r="BP59" s="247">
        <f>IF($AX59&lt;&gt;BP$3,COUNTIF($AX$8:$AX59,"&lt;&gt;"&amp;BP$3),0)</f>
        <v>0</v>
      </c>
      <c r="BQ59" s="788" t="str">
        <f t="shared" si="100"/>
        <v/>
      </c>
      <c r="BR59" s="247">
        <f>IF($AX59=BR$3,COUNTIF($AX$8:$AX59,BR$3),0)</f>
        <v>0</v>
      </c>
      <c r="BS59" s="788" t="str">
        <f t="shared" si="101"/>
        <v/>
      </c>
      <c r="BT59" s="312"/>
      <c r="BU59" s="312"/>
    </row>
    <row r="60" spans="1:73" ht="15" customHeight="1">
      <c r="A60" s="1298"/>
      <c r="B60" s="2730" t="s">
        <v>33</v>
      </c>
      <c r="C60" s="2666"/>
      <c r="D60" s="2731" t="s">
        <v>983</v>
      </c>
      <c r="E60" s="2777" t="s">
        <v>984</v>
      </c>
      <c r="F60" s="2767" t="s">
        <v>1006</v>
      </c>
      <c r="G60" s="2768"/>
      <c r="H60" s="2768"/>
      <c r="I60" s="2768"/>
      <c r="J60" s="794">
        <f>IF(SUM(I154:I155)-M185&gt;0,SUM(I154:I155)-M185,0)</f>
        <v>0</v>
      </c>
      <c r="K60" s="992" t="s">
        <v>750</v>
      </c>
      <c r="L60" s="793" t="s">
        <v>750</v>
      </c>
      <c r="M60" s="757" t="s">
        <v>804</v>
      </c>
      <c r="N60" s="2766" t="str">
        <f>IF(Q60,"○","×")</f>
        <v>×</v>
      </c>
      <c r="O60" s="2710" t="str">
        <f t="shared" si="90"/>
        <v>-</v>
      </c>
      <c r="P60" s="758"/>
      <c r="Q60" s="2748" t="b">
        <f>【様式１】総括表・個票!AI170</f>
        <v>0</v>
      </c>
      <c r="R60" s="2757">
        <f>IF(Q60,【様式１】総括表・個票!F174,0)</f>
        <v>0</v>
      </c>
      <c r="S60" s="2748" t="b">
        <f>AND(ISNUMBER(R60),R60&lt;=J63,$O$167&gt;=0)</f>
        <v>0</v>
      </c>
      <c r="T60" s="446" t="s">
        <v>750</v>
      </c>
      <c r="U60" s="407" t="s">
        <v>750</v>
      </c>
      <c r="V60" s="446" t="s">
        <v>804</v>
      </c>
      <c r="W60" s="446" t="s">
        <v>804</v>
      </c>
      <c r="X60" s="439" t="s">
        <v>750</v>
      </c>
      <c r="Y60" s="440" t="s">
        <v>804</v>
      </c>
      <c r="Z60" s="976" t="s">
        <v>804</v>
      </c>
      <c r="AA60" s="976" t="s">
        <v>804</v>
      </c>
      <c r="AB60" s="976" t="s">
        <v>804</v>
      </c>
      <c r="AC60" s="976" t="s">
        <v>804</v>
      </c>
      <c r="AD60" s="972" t="s">
        <v>804</v>
      </c>
      <c r="AE60" s="248" t="b">
        <f t="shared" si="91"/>
        <v>1</v>
      </c>
      <c r="AF60" s="783" t="b">
        <f t="shared" si="54"/>
        <v>0</v>
      </c>
      <c r="AG60" s="446" t="s">
        <v>804</v>
      </c>
      <c r="AH60" s="446" t="s">
        <v>804</v>
      </c>
      <c r="AI60" s="446" t="s">
        <v>804</v>
      </c>
      <c r="AJ60" s="248" t="s">
        <v>804</v>
      </c>
      <c r="AK60" s="249" t="s">
        <v>804</v>
      </c>
      <c r="AR60" s="461"/>
      <c r="AS60" s="461"/>
      <c r="AT60" s="461"/>
      <c r="AU60" s="247">
        <f t="shared" si="1"/>
        <v>53</v>
      </c>
      <c r="AV60" s="1331" t="str">
        <f>AU60&amp;" "&amp;IF(AX60&lt;&gt;"-",'【様式2】職員名簿 '!B96&amp;"/"&amp;AW60&amp;"/"&amp;AX60,"")</f>
        <v xml:space="preserve">53 </v>
      </c>
      <c r="AW60" s="1331">
        <f>'【様式2】職員名簿 '!F96</f>
        <v>0</v>
      </c>
      <c r="AX60" s="1331" t="str">
        <f>IF('【様式2】職員名簿 '!K96="エラー","-",IF(AND('【様式2】職員名簿 '!C96=$AX$3,'【様式2】職員名簿 '!K96=$AX$4),$AX$3,'【様式2】職員名簿 '!K96))</f>
        <v>-</v>
      </c>
      <c r="AY60" s="783">
        <f>IF($AW60="常勤",$AN$2,IF($AW60="非常勤",'【様式2】職員名簿 '!H96,0))</f>
        <v>0</v>
      </c>
      <c r="AZ60" s="406">
        <f>IF($AX60=AZ$3,COUNTIF($AX$8:$AX60,AZ$3),0)</f>
        <v>0</v>
      </c>
      <c r="BA60" s="788" t="str">
        <f t="shared" si="92"/>
        <v/>
      </c>
      <c r="BB60" s="247">
        <f>IF(OR($AX60=BB$3,$AX60=BB$4),COUNTIF($AX$8:$AX60,BB$3)+COUNTIF($AX$8:$AX60,BB$4),0)</f>
        <v>0</v>
      </c>
      <c r="BC60" s="788" t="str">
        <f t="shared" si="93"/>
        <v/>
      </c>
      <c r="BD60" s="407">
        <f>IF(OR($AX60=$BD$4,$AX60=BD$3),COUNTIFS($AX$8:$AX60,BD$3,$AW$8:$AW60,BD$5)+COUNTIFS($AX$8:$AX60,BD$4,$AW$8:$AW60,BD$5),0)</f>
        <v>0</v>
      </c>
      <c r="BE60" s="788" t="str">
        <f t="shared" si="94"/>
        <v/>
      </c>
      <c r="BF60" s="248">
        <f>IF($AX60=BF$3,COUNTIF($AX$8:$AX60,BF$3),0)</f>
        <v>0</v>
      </c>
      <c r="BG60" s="788" t="str">
        <f t="shared" si="95"/>
        <v/>
      </c>
      <c r="BH60" s="247">
        <f>IF(OR($AX60=BH$3,$AX60=BH$4),COUNTIF($AX$8:$AX60,BH$3)+COUNTIF($AX$8:$AX60,BH$4),0)</f>
        <v>0</v>
      </c>
      <c r="BI60" s="788" t="str">
        <f t="shared" si="96"/>
        <v/>
      </c>
      <c r="BJ60" s="247">
        <f>IF($AX60=BJ$4,COUNTIFS($AW$8:$AW60,BJ$3,$AX$8:$AX60,BJ$4),0)</f>
        <v>0</v>
      </c>
      <c r="BK60" s="788" t="str">
        <f t="shared" si="97"/>
        <v/>
      </c>
      <c r="BL60" s="247">
        <f>IF($AX60=BL$3,COUNTIF($AX$8:$AX60,BL$3),0)</f>
        <v>0</v>
      </c>
      <c r="BM60" s="788" t="str">
        <f t="shared" si="98"/>
        <v/>
      </c>
      <c r="BN60" s="247">
        <f>IF($AX60=BN$3,COUNTIF($AX$8:$AX60,BN$3),0)</f>
        <v>0</v>
      </c>
      <c r="BO60" s="788" t="str">
        <f t="shared" si="99"/>
        <v/>
      </c>
      <c r="BP60" s="247">
        <f>IF($AX60&lt;&gt;BP$3,COUNTIF($AX$8:$AX60,"&lt;&gt;"&amp;BP$3),0)</f>
        <v>0</v>
      </c>
      <c r="BQ60" s="788" t="str">
        <f t="shared" si="100"/>
        <v/>
      </c>
      <c r="BR60" s="247">
        <f>IF($AX60=BR$3,COUNTIF($AX$8:$AX60,BR$3),0)</f>
        <v>0</v>
      </c>
      <c r="BS60" s="788" t="str">
        <f t="shared" si="101"/>
        <v/>
      </c>
      <c r="BT60" s="312"/>
      <c r="BU60" s="312"/>
    </row>
    <row r="61" spans="1:73" ht="15" customHeight="1">
      <c r="A61" s="1298"/>
      <c r="B61" s="2730"/>
      <c r="C61" s="2666"/>
      <c r="D61" s="2577"/>
      <c r="E61" s="2778"/>
      <c r="F61" s="2866" t="s">
        <v>599</v>
      </c>
      <c r="G61" s="2867"/>
      <c r="H61" s="2867"/>
      <c r="I61" s="2867"/>
      <c r="J61" s="453">
        <f>IF(J60&lt;=3,ROUND(J60,0),VLOOKUP(J60,$AR$17:$AS$27,2,TRUE))</f>
        <v>0</v>
      </c>
      <c r="K61" s="993" t="s">
        <v>750</v>
      </c>
      <c r="L61" s="452" t="s">
        <v>804</v>
      </c>
      <c r="M61" s="757" t="s">
        <v>804</v>
      </c>
      <c r="N61" s="2850" t="str">
        <f t="shared" si="103"/>
        <v>×</v>
      </c>
      <c r="O61" s="2711" t="str">
        <f t="shared" si="90"/>
        <v>-</v>
      </c>
      <c r="P61" s="758"/>
      <c r="Q61" s="2756"/>
      <c r="R61" s="2758"/>
      <c r="S61" s="2756"/>
      <c r="T61" s="446" t="s">
        <v>750</v>
      </c>
      <c r="U61" s="407" t="s">
        <v>750</v>
      </c>
      <c r="V61" s="446" t="s">
        <v>804</v>
      </c>
      <c r="W61" s="446" t="s">
        <v>804</v>
      </c>
      <c r="X61" s="439" t="s">
        <v>804</v>
      </c>
      <c r="Y61" s="440" t="s">
        <v>804</v>
      </c>
      <c r="Z61" s="976" t="s">
        <v>804</v>
      </c>
      <c r="AA61" s="976" t="s">
        <v>804</v>
      </c>
      <c r="AB61" s="976" t="s">
        <v>804</v>
      </c>
      <c r="AC61" s="976" t="s">
        <v>804</v>
      </c>
      <c r="AD61" s="972" t="s">
        <v>804</v>
      </c>
      <c r="AE61" s="248" t="b">
        <f t="shared" si="91"/>
        <v>1</v>
      </c>
      <c r="AF61" s="783" t="b">
        <f t="shared" si="54"/>
        <v>0</v>
      </c>
      <c r="AG61" s="446" t="s">
        <v>804</v>
      </c>
      <c r="AH61" s="446" t="s">
        <v>804</v>
      </c>
      <c r="AI61" s="446" t="s">
        <v>804</v>
      </c>
      <c r="AJ61" s="248" t="s">
        <v>804</v>
      </c>
      <c r="AK61" s="249" t="s">
        <v>804</v>
      </c>
      <c r="AS61" s="461"/>
      <c r="AT61" s="461"/>
      <c r="AU61" s="247">
        <f t="shared" si="1"/>
        <v>54</v>
      </c>
      <c r="AV61" s="1331" t="str">
        <f>AU61&amp;" "&amp;IF(AX61&lt;&gt;"-",'【様式2】職員名簿 '!B97&amp;"/"&amp;AW61&amp;"/"&amp;AX61,"")</f>
        <v xml:space="preserve">54 </v>
      </c>
      <c r="AW61" s="1331">
        <f>'【様式2】職員名簿 '!F97</f>
        <v>0</v>
      </c>
      <c r="AX61" s="1331" t="str">
        <f>IF('【様式2】職員名簿 '!K97="エラー","-",IF(AND('【様式2】職員名簿 '!C97=$AX$3,'【様式2】職員名簿 '!K97=$AX$4),$AX$3,'【様式2】職員名簿 '!K97))</f>
        <v>-</v>
      </c>
      <c r="AY61" s="783">
        <f>IF($AW61="常勤",$AN$2,IF($AW61="非常勤",'【様式2】職員名簿 '!H97,0))</f>
        <v>0</v>
      </c>
      <c r="AZ61" s="406">
        <f>IF($AX61=AZ$3,COUNTIF($AX$8:$AX61,AZ$3),0)</f>
        <v>0</v>
      </c>
      <c r="BA61" s="788" t="str">
        <f t="shared" si="92"/>
        <v/>
      </c>
      <c r="BB61" s="247">
        <f>IF(OR($AX61=BB$3,$AX61=BB$4),COUNTIF($AX$8:$AX61,BB$3)+COUNTIF($AX$8:$AX61,BB$4),0)</f>
        <v>0</v>
      </c>
      <c r="BC61" s="788" t="str">
        <f t="shared" si="93"/>
        <v/>
      </c>
      <c r="BD61" s="407">
        <f>IF(OR($AX61=$BD$4,$AX61=BD$3),COUNTIFS($AX$8:$AX61,BD$3,$AW$8:$AW61,BD$5)+COUNTIFS($AX$8:$AX61,BD$4,$AW$8:$AW61,BD$5),0)</f>
        <v>0</v>
      </c>
      <c r="BE61" s="788" t="str">
        <f t="shared" si="94"/>
        <v/>
      </c>
      <c r="BF61" s="248">
        <f>IF($AX61=BF$3,COUNTIF($AX$8:$AX61,BF$3),0)</f>
        <v>0</v>
      </c>
      <c r="BG61" s="788" t="str">
        <f t="shared" si="95"/>
        <v/>
      </c>
      <c r="BH61" s="247">
        <f>IF(OR($AX61=BH$3,$AX61=BH$4),COUNTIF($AX$8:$AX61,BH$3)+COUNTIF($AX$8:$AX61,BH$4),0)</f>
        <v>0</v>
      </c>
      <c r="BI61" s="788" t="str">
        <f t="shared" si="96"/>
        <v/>
      </c>
      <c r="BJ61" s="247">
        <f>IF($AX61=BJ$4,COUNTIFS($AW$8:$AW61,BJ$3,$AX$8:$AX61,BJ$4),0)</f>
        <v>0</v>
      </c>
      <c r="BK61" s="788" t="str">
        <f t="shared" si="97"/>
        <v/>
      </c>
      <c r="BL61" s="247">
        <f>IF($AX61=BL$3,COUNTIF($AX$8:$AX61,BL$3),0)</f>
        <v>0</v>
      </c>
      <c r="BM61" s="788" t="str">
        <f t="shared" si="98"/>
        <v/>
      </c>
      <c r="BN61" s="247">
        <f>IF($AX61=BN$3,COUNTIF($AX$8:$AX61,BN$3),0)</f>
        <v>0</v>
      </c>
      <c r="BO61" s="788" t="str">
        <f t="shared" si="99"/>
        <v/>
      </c>
      <c r="BP61" s="247">
        <f>IF($AX61&lt;&gt;BP$3,COUNTIF($AX$8:$AX61,"&lt;&gt;"&amp;BP$3),0)</f>
        <v>0</v>
      </c>
      <c r="BQ61" s="788" t="str">
        <f t="shared" si="100"/>
        <v/>
      </c>
      <c r="BR61" s="247">
        <f>IF($AX61=BR$3,COUNTIF($AX$8:$AX61,BR$3),0)</f>
        <v>0</v>
      </c>
      <c r="BS61" s="788" t="str">
        <f t="shared" si="101"/>
        <v/>
      </c>
      <c r="BT61" s="312"/>
      <c r="BU61" s="312"/>
    </row>
    <row r="62" spans="1:73" ht="15" customHeight="1">
      <c r="A62" s="1298"/>
      <c r="B62" s="2730"/>
      <c r="C62" s="2666"/>
      <c r="D62" s="2577"/>
      <c r="E62" s="2778">
        <f>R60</f>
        <v>0</v>
      </c>
      <c r="F62" s="2866" t="s">
        <v>600</v>
      </c>
      <c r="G62" s="2867"/>
      <c r="H62" s="2867"/>
      <c r="I62" s="2867"/>
      <c r="J62" s="453">
        <f>IFERROR(VLOOKUP(SUM($B$8,B13),$AP$2:$AQ$8,2,TRUE),0)</f>
        <v>0</v>
      </c>
      <c r="K62" s="993" t="s">
        <v>986</v>
      </c>
      <c r="L62" s="452" t="s">
        <v>804</v>
      </c>
      <c r="M62" s="757" t="s">
        <v>804</v>
      </c>
      <c r="N62" s="2850" t="str">
        <f t="shared" si="103"/>
        <v>×</v>
      </c>
      <c r="O62" s="2711" t="str">
        <f t="shared" si="90"/>
        <v>-</v>
      </c>
      <c r="P62" s="758"/>
      <c r="Q62" s="2756"/>
      <c r="R62" s="2758"/>
      <c r="S62" s="2756"/>
      <c r="T62" s="446" t="s">
        <v>750</v>
      </c>
      <c r="U62" s="407" t="s">
        <v>750</v>
      </c>
      <c r="V62" s="446" t="s">
        <v>804</v>
      </c>
      <c r="W62" s="446" t="s">
        <v>804</v>
      </c>
      <c r="X62" s="439" t="s">
        <v>804</v>
      </c>
      <c r="Y62" s="440" t="s">
        <v>804</v>
      </c>
      <c r="Z62" s="976" t="s">
        <v>804</v>
      </c>
      <c r="AA62" s="976" t="s">
        <v>804</v>
      </c>
      <c r="AB62" s="976" t="s">
        <v>804</v>
      </c>
      <c r="AC62" s="976" t="s">
        <v>804</v>
      </c>
      <c r="AD62" s="972" t="s">
        <v>804</v>
      </c>
      <c r="AE62" s="248" t="b">
        <f t="shared" si="91"/>
        <v>1</v>
      </c>
      <c r="AF62" s="783" t="b">
        <f t="shared" si="54"/>
        <v>0</v>
      </c>
      <c r="AG62" s="446" t="s">
        <v>804</v>
      </c>
      <c r="AH62" s="446" t="s">
        <v>804</v>
      </c>
      <c r="AI62" s="446" t="s">
        <v>804</v>
      </c>
      <c r="AJ62" s="248" t="s">
        <v>804</v>
      </c>
      <c r="AK62" s="249" t="s">
        <v>804</v>
      </c>
      <c r="AS62" s="461"/>
      <c r="AT62" s="461"/>
      <c r="AU62" s="247">
        <f t="shared" si="1"/>
        <v>55</v>
      </c>
      <c r="AV62" s="1331" t="str">
        <f>AU62&amp;" "&amp;IF(AX62&lt;&gt;"-",'【様式2】職員名簿 '!B98&amp;"/"&amp;AW62&amp;"/"&amp;AX62,"")</f>
        <v xml:space="preserve">55 </v>
      </c>
      <c r="AW62" s="1331">
        <f>'【様式2】職員名簿 '!F98</f>
        <v>0</v>
      </c>
      <c r="AX62" s="1331" t="str">
        <f>IF('【様式2】職員名簿 '!K98="エラー","-",IF(AND('【様式2】職員名簿 '!C98=$AX$3,'【様式2】職員名簿 '!K98=$AX$4),$AX$3,'【様式2】職員名簿 '!K98))</f>
        <v>-</v>
      </c>
      <c r="AY62" s="783">
        <f>IF($AW62="常勤",$AN$2,IF($AW62="非常勤",'【様式2】職員名簿 '!H98,0))</f>
        <v>0</v>
      </c>
      <c r="AZ62" s="406">
        <f>IF($AX62=AZ$3,COUNTIF($AX$8:$AX62,AZ$3),0)</f>
        <v>0</v>
      </c>
      <c r="BA62" s="788" t="str">
        <f t="shared" si="92"/>
        <v/>
      </c>
      <c r="BB62" s="247">
        <f>IF(OR($AX62=BB$3,$AX62=BB$4),COUNTIF($AX$8:$AX62,BB$3)+COUNTIF($AX$8:$AX62,BB$4),0)</f>
        <v>0</v>
      </c>
      <c r="BC62" s="788" t="str">
        <f t="shared" si="93"/>
        <v/>
      </c>
      <c r="BD62" s="407">
        <f>IF(OR($AX62=$BD$4,$AX62=BD$3),COUNTIFS($AX$8:$AX62,BD$3,$AW$8:$AW62,BD$5)+COUNTIFS($AX$8:$AX62,BD$4,$AW$8:$AW62,BD$5),0)</f>
        <v>0</v>
      </c>
      <c r="BE62" s="788" t="str">
        <f t="shared" si="94"/>
        <v/>
      </c>
      <c r="BF62" s="248">
        <f>IF($AX62=BF$3,COUNTIF($AX$8:$AX62,BF$3),0)</f>
        <v>0</v>
      </c>
      <c r="BG62" s="788" t="str">
        <f t="shared" si="95"/>
        <v/>
      </c>
      <c r="BH62" s="247">
        <f>IF(OR($AX62=BH$3,$AX62=BH$4),COUNTIF($AX$8:$AX62,BH$3)+COUNTIF($AX$8:$AX62,BH$4),0)</f>
        <v>0</v>
      </c>
      <c r="BI62" s="788" t="str">
        <f t="shared" si="96"/>
        <v/>
      </c>
      <c r="BJ62" s="247">
        <f>IF($AX62=BJ$4,COUNTIFS($AW$8:$AW62,BJ$3,$AX$8:$AX62,BJ$4),0)</f>
        <v>0</v>
      </c>
      <c r="BK62" s="788" t="str">
        <f t="shared" si="97"/>
        <v/>
      </c>
      <c r="BL62" s="247">
        <f>IF($AX62=BL$3,COUNTIF($AX$8:$AX62,BL$3),0)</f>
        <v>0</v>
      </c>
      <c r="BM62" s="788" t="str">
        <f t="shared" si="98"/>
        <v/>
      </c>
      <c r="BN62" s="247">
        <f>IF($AX62=BN$3,COUNTIF($AX$8:$AX62,BN$3),0)</f>
        <v>0</v>
      </c>
      <c r="BO62" s="788" t="str">
        <f t="shared" si="99"/>
        <v/>
      </c>
      <c r="BP62" s="247">
        <f>IF($AX62&lt;&gt;BP$3,COUNTIF($AX$8:$AX62,"&lt;&gt;"&amp;BP$3),0)</f>
        <v>0</v>
      </c>
      <c r="BQ62" s="788" t="str">
        <f t="shared" si="100"/>
        <v/>
      </c>
      <c r="BR62" s="247">
        <f>IF($AX62=BR$3,COUNTIF($AX$8:$AX62,BR$3),0)</f>
        <v>0</v>
      </c>
      <c r="BS62" s="788" t="str">
        <f t="shared" si="101"/>
        <v/>
      </c>
      <c r="BT62" s="312"/>
      <c r="BU62" s="312"/>
    </row>
    <row r="63" spans="1:73" ht="15" customHeight="1">
      <c r="A63" s="1298"/>
      <c r="B63" s="2730"/>
      <c r="C63" s="2666"/>
      <c r="D63" s="2732"/>
      <c r="E63" s="2859"/>
      <c r="F63" s="2679" t="s">
        <v>985</v>
      </c>
      <c r="G63" s="2680"/>
      <c r="H63" s="2680"/>
      <c r="I63" s="2680"/>
      <c r="J63" s="903">
        <f>MIN(J61:J62)</f>
        <v>0</v>
      </c>
      <c r="K63" s="997" t="s">
        <v>986</v>
      </c>
      <c r="L63" s="759" t="s">
        <v>804</v>
      </c>
      <c r="M63" s="757" t="s">
        <v>804</v>
      </c>
      <c r="N63" s="2765" t="str">
        <f t="shared" si="103"/>
        <v>×</v>
      </c>
      <c r="O63" s="2712" t="str">
        <f t="shared" si="90"/>
        <v>-</v>
      </c>
      <c r="P63" s="758"/>
      <c r="Q63" s="2749"/>
      <c r="R63" s="2759"/>
      <c r="S63" s="2749"/>
      <c r="T63" s="446" t="s">
        <v>750</v>
      </c>
      <c r="U63" s="407" t="s">
        <v>750</v>
      </c>
      <c r="V63" s="446" t="s">
        <v>804</v>
      </c>
      <c r="W63" s="446" t="s">
        <v>804</v>
      </c>
      <c r="X63" s="439" t="s">
        <v>804</v>
      </c>
      <c r="Y63" s="440" t="s">
        <v>804</v>
      </c>
      <c r="Z63" s="976" t="s">
        <v>804</v>
      </c>
      <c r="AA63" s="976" t="s">
        <v>804</v>
      </c>
      <c r="AB63" s="976" t="s">
        <v>804</v>
      </c>
      <c r="AC63" s="976" t="s">
        <v>804</v>
      </c>
      <c r="AD63" s="972" t="s">
        <v>804</v>
      </c>
      <c r="AE63" s="248" t="b">
        <f t="shared" si="91"/>
        <v>1</v>
      </c>
      <c r="AF63" s="783" t="b">
        <f t="shared" si="54"/>
        <v>0</v>
      </c>
      <c r="AG63" s="446" t="s">
        <v>804</v>
      </c>
      <c r="AH63" s="446" t="s">
        <v>804</v>
      </c>
      <c r="AI63" s="446" t="s">
        <v>804</v>
      </c>
      <c r="AJ63" s="248" t="s">
        <v>804</v>
      </c>
      <c r="AK63" s="249" t="s">
        <v>804</v>
      </c>
      <c r="AS63" s="461"/>
      <c r="AT63" s="461"/>
      <c r="AU63" s="247">
        <f t="shared" si="1"/>
        <v>56</v>
      </c>
      <c r="AV63" s="1331" t="str">
        <f>AU63&amp;" "&amp;IF(AX63&lt;&gt;"-",'【様式2】職員名簿 '!B99&amp;"/"&amp;AW63&amp;"/"&amp;AX63,"")</f>
        <v xml:space="preserve">56 </v>
      </c>
      <c r="AW63" s="1331">
        <f>'【様式2】職員名簿 '!F99</f>
        <v>0</v>
      </c>
      <c r="AX63" s="1331" t="str">
        <f>IF('【様式2】職員名簿 '!K99="エラー","-",IF(AND('【様式2】職員名簿 '!C99=$AX$3,'【様式2】職員名簿 '!K99=$AX$4),$AX$3,'【様式2】職員名簿 '!K99))</f>
        <v>-</v>
      </c>
      <c r="AY63" s="783">
        <f>IF($AW63="常勤",$AN$2,IF($AW63="非常勤",'【様式2】職員名簿 '!H99,0))</f>
        <v>0</v>
      </c>
      <c r="AZ63" s="406">
        <f>IF($AX63=AZ$3,COUNTIF($AX$8:$AX63,AZ$3),0)</f>
        <v>0</v>
      </c>
      <c r="BA63" s="788" t="str">
        <f t="shared" si="92"/>
        <v/>
      </c>
      <c r="BB63" s="247">
        <f>IF(OR($AX63=BB$3,$AX63=BB$4),COUNTIF($AX$8:$AX63,BB$3)+COUNTIF($AX$8:$AX63,BB$4),0)</f>
        <v>0</v>
      </c>
      <c r="BC63" s="788" t="str">
        <f t="shared" si="93"/>
        <v/>
      </c>
      <c r="BD63" s="407">
        <f>IF(OR($AX63=$BD$4,$AX63=BD$3),COUNTIFS($AX$8:$AX63,BD$3,$AW$8:$AW63,BD$5)+COUNTIFS($AX$8:$AX63,BD$4,$AW$8:$AW63,BD$5),0)</f>
        <v>0</v>
      </c>
      <c r="BE63" s="788" t="str">
        <f t="shared" si="94"/>
        <v/>
      </c>
      <c r="BF63" s="248">
        <f>IF($AX63=BF$3,COUNTIF($AX$8:$AX63,BF$3),0)</f>
        <v>0</v>
      </c>
      <c r="BG63" s="788" t="str">
        <f t="shared" si="95"/>
        <v/>
      </c>
      <c r="BH63" s="247">
        <f>IF(OR($AX63=BH$3,$AX63=BH$4),COUNTIF($AX$8:$AX63,BH$3)+COUNTIF($AX$8:$AX63,BH$4),0)</f>
        <v>0</v>
      </c>
      <c r="BI63" s="788" t="str">
        <f t="shared" si="96"/>
        <v/>
      </c>
      <c r="BJ63" s="247">
        <f>IF($AX63=BJ$4,COUNTIFS($AW$8:$AW63,BJ$3,$AX$8:$AX63,BJ$4),0)</f>
        <v>0</v>
      </c>
      <c r="BK63" s="788" t="str">
        <f t="shared" si="97"/>
        <v/>
      </c>
      <c r="BL63" s="247">
        <f>IF($AX63=BL$3,COUNTIF($AX$8:$AX63,BL$3),0)</f>
        <v>0</v>
      </c>
      <c r="BM63" s="788" t="str">
        <f t="shared" si="98"/>
        <v/>
      </c>
      <c r="BN63" s="247">
        <f>IF($AX63=BN$3,COUNTIF($AX$8:$AX63,BN$3),0)</f>
        <v>0</v>
      </c>
      <c r="BO63" s="788" t="str">
        <f t="shared" si="99"/>
        <v/>
      </c>
      <c r="BP63" s="247">
        <f>IF($AX63&lt;&gt;BP$3,COUNTIF($AX$8:$AX63,"&lt;&gt;"&amp;BP$3),0)</f>
        <v>0</v>
      </c>
      <c r="BQ63" s="788" t="str">
        <f t="shared" si="100"/>
        <v/>
      </c>
      <c r="BR63" s="247">
        <f>IF($AX63=BR$3,COUNTIF($AX$8:$AX63,BR$3),0)</f>
        <v>0</v>
      </c>
      <c r="BS63" s="788" t="str">
        <f t="shared" si="101"/>
        <v/>
      </c>
      <c r="BT63" s="312"/>
      <c r="BU63" s="312"/>
    </row>
    <row r="64" spans="1:73" ht="15" customHeight="1">
      <c r="A64" s="1298"/>
      <c r="B64" s="2733" t="s">
        <v>837</v>
      </c>
      <c r="C64" s="2736" t="str">
        <f>CONCATENATE('(別紙3)休日'!$L$15)</f>
        <v/>
      </c>
      <c r="D64" s="2856" t="str">
        <f t="shared" ref="D64:D76" si="107">IF(W64,T64,"")</f>
        <v/>
      </c>
      <c r="E64" s="2857"/>
      <c r="F64" s="2763"/>
      <c r="G64" s="2763"/>
      <c r="H64" s="2764"/>
      <c r="I64" s="894" t="str">
        <f t="shared" ref="I64:I73" si="108">IF(OR(NOT(W64),U64=0),"","【"&amp;U64&amp;"h】")</f>
        <v/>
      </c>
      <c r="J64" s="441" t="str">
        <f t="shared" ref="J64:J73" si="109">IF(OR(F64=0,F64=""),"",IF(W64,IF(X64,IF(OR(Y64,V64=3),IF(AE64,IF(OR(AF64,V64=2,V64=3),"○","要常勤"),"時間無"),"重複"),"名簿無"),"対象外"))</f>
        <v/>
      </c>
      <c r="K64" s="1067"/>
      <c r="L64" s="442" t="str">
        <f t="shared" ref="L64:L74" si="110">IF(AJ64=1,"調整①→",IF(AJ64=5,"調整②→",IF(AJ64=2,"",IF(AJ64=3,"全計上→","エラー"))))</f>
        <v/>
      </c>
      <c r="M64" s="470">
        <f t="shared" ref="M64:M74" si="111">IF(OR(AND(J64&lt;&gt;"",J64&lt;&gt;"○"),AJ64=4),"×",IF(J64="",0,AK64/$AN$2))</f>
        <v>0</v>
      </c>
      <c r="N64" s="2760" t="str">
        <f>IF(Q64,"○","×")</f>
        <v>×</v>
      </c>
      <c r="O64" s="2661" t="str">
        <f>IF(Q64,IF(S64,"○","×"),"-")</f>
        <v>-</v>
      </c>
      <c r="P64" s="436"/>
      <c r="Q64" s="2748" t="b">
        <f>AND(【様式１】総括表・個票!AI235,R64)</f>
        <v>0</v>
      </c>
      <c r="R64" s="2748" t="b">
        <f>'(別紙3)休日'!$L$15&lt;&gt;"全て超過勤務"</f>
        <v>1</v>
      </c>
      <c r="S64" s="2748" t="b">
        <f>AND(SUM(M64:M73)&gt;0,O167&gt;=0)</f>
        <v>0</v>
      </c>
      <c r="T64" s="446" t="str">
        <f t="shared" si="88"/>
        <v>保育教諭</v>
      </c>
      <c r="U64" s="407">
        <f t="shared" ref="U64:U74" si="112">IFERROR(VLOOKUP($F64,$AV$8:$AY$108,4,FALSE),0)</f>
        <v>0</v>
      </c>
      <c r="V64" s="446">
        <v>2</v>
      </c>
      <c r="W64" s="446" t="b">
        <f t="shared" ref="W64:W73" si="113">AND($Q$64,$R$64)</f>
        <v>0</v>
      </c>
      <c r="X64" s="439" t="b">
        <f t="shared" ref="X64:X73" ca="1" si="114">COUNTIF(INDIRECT(T64),F64)&gt;0</f>
        <v>0</v>
      </c>
      <c r="Y64" s="440" t="b">
        <f>COUNTIF($AD$30:AD63,AD64)+COUNTIF(AD65:$AD$147,AD64)-COUNTIF(Z64:AC64,AD64)=0</f>
        <v>0</v>
      </c>
      <c r="Z64" s="976" t="s">
        <v>804</v>
      </c>
      <c r="AA64" s="976" t="s">
        <v>804</v>
      </c>
      <c r="AB64" s="976" t="s">
        <v>804</v>
      </c>
      <c r="AC64" s="976" t="s">
        <v>804</v>
      </c>
      <c r="AD64" s="972">
        <f t="shared" ref="AD64:AD73" si="115">IF(V64=3,0,IFERROR(INDEX($AU$8:$AU$108,MATCH($F64,AV$8:AV$108,0),1),0))</f>
        <v>0</v>
      </c>
      <c r="AE64" s="248" t="b">
        <f t="shared" ref="AE64:AE86" si="116">U64&gt;0</f>
        <v>0</v>
      </c>
      <c r="AF64" s="783" t="b">
        <f t="shared" si="54"/>
        <v>0</v>
      </c>
      <c r="AG64" s="446" t="s">
        <v>750</v>
      </c>
      <c r="AH64" s="473">
        <f t="shared" ref="AH64:AH73" si="117">M64</f>
        <v>0</v>
      </c>
      <c r="AI64" s="446">
        <v>2</v>
      </c>
      <c r="AJ64" s="248">
        <f t="shared" ref="AJ64:AJ74" si="118">IF(AND($W64,$J64="○"),IF($K64="-",IF($U64&lt;IF($AI64=5,$AM$4,$AM$3),$AI64,2),IF($K64=0,IF($U64&lt;IF($AI64=5,$AM$4,$AM$3),IF(OR($AI64=1,$AI64=5),$AI64,3),3),IF(K64&lt;IF($AI64=5,$AM$4,$AM$3),$AI64,IF($K64&gt;$U64,4,2)))),2)</f>
        <v>2</v>
      </c>
      <c r="AK64" s="249">
        <f t="shared" ref="AK64:AK86" si="119">IF(AJ64=1,$AM$3,IF(AJ64=5,$AM$4,IF(AJ64=2,IF(K64="-",U64,K64),IF(AJ64=3,U64,"×"))))</f>
        <v>0</v>
      </c>
      <c r="AS64" s="461"/>
      <c r="AT64" s="461"/>
      <c r="AU64" s="247">
        <f t="shared" si="1"/>
        <v>57</v>
      </c>
      <c r="AV64" s="1331" t="str">
        <f>AU64&amp;" "&amp;IF(AX64&lt;&gt;"-",'【様式2】職員名簿 '!B100&amp;"/"&amp;AW64&amp;"/"&amp;AX64,"")</f>
        <v xml:space="preserve">57 </v>
      </c>
      <c r="AW64" s="1331">
        <f>'【様式2】職員名簿 '!F100</f>
        <v>0</v>
      </c>
      <c r="AX64" s="1331" t="str">
        <f>IF('【様式2】職員名簿 '!K100="エラー","-",IF(AND('【様式2】職員名簿 '!C100=$AX$3,'【様式2】職員名簿 '!K100=$AX$4),$AX$3,'【様式2】職員名簿 '!K100))</f>
        <v>-</v>
      </c>
      <c r="AY64" s="783">
        <f>IF($AW64="常勤",$AN$2,IF($AW64="非常勤",'【様式2】職員名簿 '!H100,0))</f>
        <v>0</v>
      </c>
      <c r="AZ64" s="406">
        <f>IF($AX64=AZ$3,COUNTIF($AX$8:$AX64,AZ$3),0)</f>
        <v>0</v>
      </c>
      <c r="BA64" s="788" t="str">
        <f t="shared" si="92"/>
        <v/>
      </c>
      <c r="BB64" s="247">
        <f>IF(OR($AX64=BB$3,$AX64=BB$4),COUNTIF($AX$8:$AX64,BB$3)+COUNTIF($AX$8:$AX64,BB$4),0)</f>
        <v>0</v>
      </c>
      <c r="BC64" s="788" t="str">
        <f t="shared" si="93"/>
        <v/>
      </c>
      <c r="BD64" s="407">
        <f>IF(OR($AX64=$BD$4,$AX64=BD$3),COUNTIFS($AX$8:$AX64,BD$3,$AW$8:$AW64,BD$5)+COUNTIFS($AX$8:$AX64,BD$4,$AW$8:$AW64,BD$5),0)</f>
        <v>0</v>
      </c>
      <c r="BE64" s="788" t="str">
        <f t="shared" si="94"/>
        <v/>
      </c>
      <c r="BF64" s="248">
        <f>IF($AX64=BF$3,COUNTIF($AX$8:$AX64,BF$3),0)</f>
        <v>0</v>
      </c>
      <c r="BG64" s="788" t="str">
        <f t="shared" si="95"/>
        <v/>
      </c>
      <c r="BH64" s="247">
        <f>IF(OR($AX64=BH$3,$AX64=BH$4),COUNTIF($AX$8:$AX64,BH$3)+COUNTIF($AX$8:$AX64,BH$4),0)</f>
        <v>0</v>
      </c>
      <c r="BI64" s="788" t="str">
        <f t="shared" si="96"/>
        <v/>
      </c>
      <c r="BJ64" s="247">
        <f>IF($AX64=BJ$4,COUNTIFS($AW$8:$AW64,BJ$3,$AX$8:$AX64,BJ$4),0)</f>
        <v>0</v>
      </c>
      <c r="BK64" s="788" t="str">
        <f t="shared" si="97"/>
        <v/>
      </c>
      <c r="BL64" s="247">
        <f>IF($AX64=BL$3,COUNTIF($AX$8:$AX64,BL$3),0)</f>
        <v>0</v>
      </c>
      <c r="BM64" s="788" t="str">
        <f t="shared" si="98"/>
        <v/>
      </c>
      <c r="BN64" s="247">
        <f>IF($AX64=BN$3,COUNTIF($AX$8:$AX64,BN$3),0)</f>
        <v>0</v>
      </c>
      <c r="BO64" s="788" t="str">
        <f t="shared" si="99"/>
        <v/>
      </c>
      <c r="BP64" s="247">
        <f>IF($AX64&lt;&gt;BP$3,COUNTIF($AX$8:$AX64,"&lt;&gt;"&amp;BP$3),0)</f>
        <v>0</v>
      </c>
      <c r="BQ64" s="788" t="str">
        <f t="shared" si="100"/>
        <v/>
      </c>
      <c r="BR64" s="247">
        <f>IF($AX64=BR$3,COUNTIF($AX$8:$AX64,BR$3),0)</f>
        <v>0</v>
      </c>
      <c r="BS64" s="788" t="str">
        <f t="shared" si="101"/>
        <v/>
      </c>
      <c r="BT64" s="312"/>
      <c r="BU64" s="312"/>
    </row>
    <row r="65" spans="1:73" ht="15" customHeight="1">
      <c r="A65" s="1298"/>
      <c r="B65" s="2734"/>
      <c r="C65" s="2737"/>
      <c r="D65" s="2739" t="str">
        <f>IF(W65,T65,"")</f>
        <v/>
      </c>
      <c r="E65" s="2740"/>
      <c r="F65" s="2677"/>
      <c r="G65" s="2677"/>
      <c r="H65" s="2678"/>
      <c r="I65" s="890" t="str">
        <f t="shared" si="108"/>
        <v/>
      </c>
      <c r="J65" s="447" t="str">
        <f t="shared" si="109"/>
        <v/>
      </c>
      <c r="K65" s="1068"/>
      <c r="L65" s="448" t="str">
        <f t="shared" si="110"/>
        <v/>
      </c>
      <c r="M65" s="483">
        <f t="shared" si="111"/>
        <v>0</v>
      </c>
      <c r="N65" s="1942" t="str">
        <f t="shared" ref="N65:N73" si="120">IF(Q65,"○","×")</f>
        <v>×</v>
      </c>
      <c r="O65" s="2662" t="str">
        <f t="shared" ref="O65:O73" si="121">IF(Q65,IF(S65,"○","×"),"-")</f>
        <v>-</v>
      </c>
      <c r="P65" s="436"/>
      <c r="Q65" s="2756"/>
      <c r="R65" s="2756"/>
      <c r="S65" s="2756"/>
      <c r="T65" s="446" t="str">
        <f t="shared" si="88"/>
        <v>保育教諭</v>
      </c>
      <c r="U65" s="407">
        <f t="shared" si="112"/>
        <v>0</v>
      </c>
      <c r="V65" s="446">
        <v>2</v>
      </c>
      <c r="W65" s="446" t="b">
        <f t="shared" si="113"/>
        <v>0</v>
      </c>
      <c r="X65" s="439" t="b">
        <f t="shared" ca="1" si="114"/>
        <v>0</v>
      </c>
      <c r="Y65" s="440" t="b">
        <f>COUNTIF($AD$30:AD64,AD65)+COUNTIF(AD66:$AD$147,AD65)-COUNTIF(Z65:AC65,AD65)=0</f>
        <v>0</v>
      </c>
      <c r="Z65" s="976" t="s">
        <v>804</v>
      </c>
      <c r="AA65" s="976" t="s">
        <v>804</v>
      </c>
      <c r="AB65" s="976" t="s">
        <v>804</v>
      </c>
      <c r="AC65" s="976" t="s">
        <v>804</v>
      </c>
      <c r="AD65" s="972">
        <f t="shared" si="115"/>
        <v>0</v>
      </c>
      <c r="AE65" s="248" t="b">
        <f t="shared" si="116"/>
        <v>0</v>
      </c>
      <c r="AF65" s="783" t="b">
        <f t="shared" si="54"/>
        <v>0</v>
      </c>
      <c r="AG65" s="446" t="s">
        <v>804</v>
      </c>
      <c r="AH65" s="473">
        <f t="shared" si="117"/>
        <v>0</v>
      </c>
      <c r="AI65" s="446">
        <v>2</v>
      </c>
      <c r="AJ65" s="248">
        <f t="shared" si="118"/>
        <v>2</v>
      </c>
      <c r="AK65" s="249">
        <f t="shared" si="119"/>
        <v>0</v>
      </c>
      <c r="AS65" s="461"/>
      <c r="AT65" s="461"/>
      <c r="AU65" s="247">
        <f t="shared" si="1"/>
        <v>58</v>
      </c>
      <c r="AV65" s="1331" t="str">
        <f>AU65&amp;" "&amp;IF(AX65&lt;&gt;"-",'【様式2】職員名簿 '!B101&amp;"/"&amp;AW65&amp;"/"&amp;AX65,"")</f>
        <v xml:space="preserve">58 </v>
      </c>
      <c r="AW65" s="1331">
        <f>'【様式2】職員名簿 '!F101</f>
        <v>0</v>
      </c>
      <c r="AX65" s="1331" t="str">
        <f>IF('【様式2】職員名簿 '!K101="エラー","-",IF(AND('【様式2】職員名簿 '!C101=$AX$3,'【様式2】職員名簿 '!K101=$AX$4),$AX$3,'【様式2】職員名簿 '!K101))</f>
        <v>-</v>
      </c>
      <c r="AY65" s="783">
        <f>IF($AW65="常勤",$AN$2,IF($AW65="非常勤",'【様式2】職員名簿 '!H101,0))</f>
        <v>0</v>
      </c>
      <c r="AZ65" s="406">
        <f>IF($AX65=AZ$3,COUNTIF($AX$8:$AX65,AZ$3),0)</f>
        <v>0</v>
      </c>
      <c r="BA65" s="788" t="str">
        <f t="shared" si="92"/>
        <v/>
      </c>
      <c r="BB65" s="247">
        <f>IF(OR($AX65=BB$3,$AX65=BB$4),COUNTIF($AX$8:$AX65,BB$3)+COUNTIF($AX$8:$AX65,BB$4),0)</f>
        <v>0</v>
      </c>
      <c r="BC65" s="788" t="str">
        <f t="shared" si="93"/>
        <v/>
      </c>
      <c r="BD65" s="407">
        <f>IF(OR($AX65=$BD$4,$AX65=BD$3),COUNTIFS($AX$8:$AX65,BD$3,$AW$8:$AW65,BD$5)+COUNTIFS($AX$8:$AX65,BD$4,$AW$8:$AW65,BD$5),0)</f>
        <v>0</v>
      </c>
      <c r="BE65" s="788" t="str">
        <f t="shared" si="94"/>
        <v/>
      </c>
      <c r="BF65" s="248">
        <f>IF($AX65=BF$3,COUNTIF($AX$8:$AX65,BF$3),0)</f>
        <v>0</v>
      </c>
      <c r="BG65" s="788" t="str">
        <f t="shared" si="95"/>
        <v/>
      </c>
      <c r="BH65" s="247">
        <f>IF(OR($AX65=BH$3,$AX65=BH$4),COUNTIF($AX$8:$AX65,BH$3)+COUNTIF($AX$8:$AX65,BH$4),0)</f>
        <v>0</v>
      </c>
      <c r="BI65" s="788" t="str">
        <f t="shared" si="96"/>
        <v/>
      </c>
      <c r="BJ65" s="247">
        <f>IF($AX65=BJ$4,COUNTIFS($AW$8:$AW65,BJ$3,$AX$8:$AX65,BJ$4),0)</f>
        <v>0</v>
      </c>
      <c r="BK65" s="788" t="str">
        <f t="shared" si="97"/>
        <v/>
      </c>
      <c r="BL65" s="247">
        <f>IF($AX65=BL$3,COUNTIF($AX$8:$AX65,BL$3),0)</f>
        <v>0</v>
      </c>
      <c r="BM65" s="788" t="str">
        <f t="shared" si="98"/>
        <v/>
      </c>
      <c r="BN65" s="247">
        <f>IF($AX65=BN$3,COUNTIF($AX$8:$AX65,BN$3),0)</f>
        <v>0</v>
      </c>
      <c r="BO65" s="788" t="str">
        <f t="shared" si="99"/>
        <v/>
      </c>
      <c r="BP65" s="247">
        <f>IF($AX65&lt;&gt;BP$3,COUNTIF($AX$8:$AX65,"&lt;&gt;"&amp;BP$3),0)</f>
        <v>0</v>
      </c>
      <c r="BQ65" s="788" t="str">
        <f t="shared" si="100"/>
        <v/>
      </c>
      <c r="BR65" s="247">
        <f>IF($AX65=BR$3,COUNTIF($AX$8:$AX65,BR$3),0)</f>
        <v>0</v>
      </c>
      <c r="BS65" s="788" t="str">
        <f t="shared" si="101"/>
        <v/>
      </c>
      <c r="BT65" s="312"/>
      <c r="BU65" s="312"/>
    </row>
    <row r="66" spans="1:73" ht="15" customHeight="1">
      <c r="A66" s="1298"/>
      <c r="B66" s="2734"/>
      <c r="C66" s="2854" t="s">
        <v>838</v>
      </c>
      <c r="D66" s="2739" t="str">
        <f t="shared" si="107"/>
        <v/>
      </c>
      <c r="E66" s="2740"/>
      <c r="F66" s="2677"/>
      <c r="G66" s="2677"/>
      <c r="H66" s="2678"/>
      <c r="I66" s="890" t="str">
        <f t="shared" si="108"/>
        <v/>
      </c>
      <c r="J66" s="447" t="str">
        <f t="shared" si="109"/>
        <v/>
      </c>
      <c r="K66" s="1068"/>
      <c r="L66" s="448" t="str">
        <f t="shared" si="110"/>
        <v/>
      </c>
      <c r="M66" s="483">
        <f t="shared" si="111"/>
        <v>0</v>
      </c>
      <c r="N66" s="1942" t="str">
        <f t="shared" si="120"/>
        <v>×</v>
      </c>
      <c r="O66" s="2662" t="str">
        <f t="shared" si="121"/>
        <v>-</v>
      </c>
      <c r="P66" s="436"/>
      <c r="Q66" s="2756"/>
      <c r="R66" s="2756"/>
      <c r="S66" s="2756"/>
      <c r="T66" s="446" t="str">
        <f t="shared" si="88"/>
        <v>保育教諭</v>
      </c>
      <c r="U66" s="407">
        <f t="shared" si="112"/>
        <v>0</v>
      </c>
      <c r="V66" s="446">
        <v>2</v>
      </c>
      <c r="W66" s="446" t="b">
        <f t="shared" si="113"/>
        <v>0</v>
      </c>
      <c r="X66" s="439" t="b">
        <f t="shared" ca="1" si="114"/>
        <v>0</v>
      </c>
      <c r="Y66" s="440" t="b">
        <f>COUNTIF($AD$30:AD65,AD66)+COUNTIF(AD67:$AD$147,AD66)-COUNTIF(Z66:AC66,AD66)=0</f>
        <v>0</v>
      </c>
      <c r="Z66" s="976" t="s">
        <v>804</v>
      </c>
      <c r="AA66" s="976" t="s">
        <v>804</v>
      </c>
      <c r="AB66" s="976" t="s">
        <v>804</v>
      </c>
      <c r="AC66" s="976" t="s">
        <v>804</v>
      </c>
      <c r="AD66" s="972">
        <f t="shared" si="115"/>
        <v>0</v>
      </c>
      <c r="AE66" s="248" t="b">
        <f>U66&gt;0</f>
        <v>0</v>
      </c>
      <c r="AF66" s="783" t="b">
        <f t="shared" si="54"/>
        <v>0</v>
      </c>
      <c r="AG66" s="446" t="s">
        <v>804</v>
      </c>
      <c r="AH66" s="473">
        <f t="shared" si="117"/>
        <v>0</v>
      </c>
      <c r="AI66" s="446">
        <v>2</v>
      </c>
      <c r="AJ66" s="248">
        <f t="shared" si="118"/>
        <v>2</v>
      </c>
      <c r="AK66" s="249">
        <f t="shared" si="119"/>
        <v>0</v>
      </c>
      <c r="AS66" s="461"/>
      <c r="AT66" s="461"/>
      <c r="AU66" s="247">
        <f t="shared" si="1"/>
        <v>59</v>
      </c>
      <c r="AV66" s="1331" t="str">
        <f>AU66&amp;" "&amp;IF(AX66&lt;&gt;"-",'【様式2】職員名簿 '!B102&amp;"/"&amp;AW66&amp;"/"&amp;AX66,"")</f>
        <v xml:space="preserve">59 </v>
      </c>
      <c r="AW66" s="1331">
        <f>'【様式2】職員名簿 '!F102</f>
        <v>0</v>
      </c>
      <c r="AX66" s="1331" t="str">
        <f>IF('【様式2】職員名簿 '!K102="エラー","-",IF(AND('【様式2】職員名簿 '!C102=$AX$3,'【様式2】職員名簿 '!K102=$AX$4),$AX$3,'【様式2】職員名簿 '!K102))</f>
        <v>-</v>
      </c>
      <c r="AY66" s="783">
        <f>IF($AW66="常勤",$AN$2,IF($AW66="非常勤",'【様式2】職員名簿 '!H102,0))</f>
        <v>0</v>
      </c>
      <c r="AZ66" s="406">
        <f>IF($AX66=AZ$3,COUNTIF($AX$8:$AX66,AZ$3),0)</f>
        <v>0</v>
      </c>
      <c r="BA66" s="788" t="str">
        <f t="shared" si="92"/>
        <v/>
      </c>
      <c r="BB66" s="247">
        <f>IF(OR($AX66=BB$3,$AX66=BB$4),COUNTIF($AX$8:$AX66,BB$3)+COUNTIF($AX$8:$AX66,BB$4),0)</f>
        <v>0</v>
      </c>
      <c r="BC66" s="788" t="str">
        <f t="shared" si="93"/>
        <v/>
      </c>
      <c r="BD66" s="407">
        <f>IF(OR($AX66=$BD$4,$AX66=BD$3),COUNTIFS($AX$8:$AX66,BD$3,$AW$8:$AW66,BD$5)+COUNTIFS($AX$8:$AX66,BD$4,$AW$8:$AW66,BD$5),0)</f>
        <v>0</v>
      </c>
      <c r="BE66" s="788" t="str">
        <f t="shared" si="94"/>
        <v/>
      </c>
      <c r="BF66" s="248">
        <f>IF($AX66=BF$3,COUNTIF($AX$8:$AX66,BF$3),0)</f>
        <v>0</v>
      </c>
      <c r="BG66" s="788" t="str">
        <f t="shared" si="95"/>
        <v/>
      </c>
      <c r="BH66" s="247">
        <f>IF(OR($AX66=BH$3,$AX66=BH$4),COUNTIF($AX$8:$AX66,BH$3)+COUNTIF($AX$8:$AX66,BH$4),0)</f>
        <v>0</v>
      </c>
      <c r="BI66" s="788" t="str">
        <f t="shared" si="96"/>
        <v/>
      </c>
      <c r="BJ66" s="247">
        <f>IF($AX66=BJ$4,COUNTIFS($AW$8:$AW66,BJ$3,$AX$8:$AX66,BJ$4),0)</f>
        <v>0</v>
      </c>
      <c r="BK66" s="788" t="str">
        <f t="shared" si="97"/>
        <v/>
      </c>
      <c r="BL66" s="247">
        <f>IF($AX66=BL$3,COUNTIF($AX$8:$AX66,BL$3),0)</f>
        <v>0</v>
      </c>
      <c r="BM66" s="788" t="str">
        <f t="shared" si="98"/>
        <v/>
      </c>
      <c r="BN66" s="247">
        <f>IF($AX66=BN$3,COUNTIF($AX$8:$AX66,BN$3),0)</f>
        <v>0</v>
      </c>
      <c r="BO66" s="788" t="str">
        <f t="shared" si="99"/>
        <v/>
      </c>
      <c r="BP66" s="247">
        <f>IF($AX66&lt;&gt;BP$3,COUNTIF($AX$8:$AX66,"&lt;&gt;"&amp;BP$3),0)</f>
        <v>0</v>
      </c>
      <c r="BQ66" s="788" t="str">
        <f t="shared" si="100"/>
        <v/>
      </c>
      <c r="BR66" s="247">
        <f>IF($AX66=BR$3,COUNTIF($AX$8:$AX66,BR$3),0)</f>
        <v>0</v>
      </c>
      <c r="BS66" s="788" t="str">
        <f t="shared" si="101"/>
        <v/>
      </c>
      <c r="BT66" s="312"/>
      <c r="BU66" s="312"/>
    </row>
    <row r="67" spans="1:73" ht="15" customHeight="1">
      <c r="A67" s="1298"/>
      <c r="B67" s="2734"/>
      <c r="C67" s="2854"/>
      <c r="D67" s="2739" t="str">
        <f t="shared" si="107"/>
        <v/>
      </c>
      <c r="E67" s="2740"/>
      <c r="F67" s="2677"/>
      <c r="G67" s="2677"/>
      <c r="H67" s="2678"/>
      <c r="I67" s="890" t="str">
        <f t="shared" si="108"/>
        <v/>
      </c>
      <c r="J67" s="447" t="str">
        <f t="shared" si="109"/>
        <v/>
      </c>
      <c r="K67" s="1068"/>
      <c r="L67" s="448" t="str">
        <f t="shared" si="110"/>
        <v/>
      </c>
      <c r="M67" s="483">
        <f t="shared" si="111"/>
        <v>0</v>
      </c>
      <c r="N67" s="1942" t="str">
        <f t="shared" si="120"/>
        <v>×</v>
      </c>
      <c r="O67" s="2662" t="str">
        <f t="shared" si="121"/>
        <v>-</v>
      </c>
      <c r="P67" s="436"/>
      <c r="Q67" s="2756"/>
      <c r="R67" s="2756"/>
      <c r="S67" s="2756"/>
      <c r="T67" s="446" t="str">
        <f t="shared" si="88"/>
        <v>保育教諭</v>
      </c>
      <c r="U67" s="407">
        <f t="shared" si="112"/>
        <v>0</v>
      </c>
      <c r="V67" s="446">
        <v>2</v>
      </c>
      <c r="W67" s="446" t="b">
        <f t="shared" si="113"/>
        <v>0</v>
      </c>
      <c r="X67" s="439" t="b">
        <f t="shared" ca="1" si="114"/>
        <v>0</v>
      </c>
      <c r="Y67" s="440" t="b">
        <f>COUNTIF($AD$30:AD66,AD67)+COUNTIF(AD68:$AD$147,AD67)-COUNTIF(Z67:AC67,AD67)=0</f>
        <v>0</v>
      </c>
      <c r="Z67" s="976" t="s">
        <v>804</v>
      </c>
      <c r="AA67" s="976" t="s">
        <v>804</v>
      </c>
      <c r="AB67" s="976" t="s">
        <v>804</v>
      </c>
      <c r="AC67" s="976" t="s">
        <v>804</v>
      </c>
      <c r="AD67" s="972">
        <f t="shared" si="115"/>
        <v>0</v>
      </c>
      <c r="AE67" s="248" t="b">
        <f t="shared" si="116"/>
        <v>0</v>
      </c>
      <c r="AF67" s="783" t="b">
        <f t="shared" si="54"/>
        <v>0</v>
      </c>
      <c r="AG67" s="446" t="s">
        <v>804</v>
      </c>
      <c r="AH67" s="473">
        <f t="shared" si="117"/>
        <v>0</v>
      </c>
      <c r="AI67" s="446">
        <v>2</v>
      </c>
      <c r="AJ67" s="248">
        <f t="shared" si="118"/>
        <v>2</v>
      </c>
      <c r="AK67" s="249">
        <f t="shared" si="119"/>
        <v>0</v>
      </c>
      <c r="AS67" s="461"/>
      <c r="AT67" s="461"/>
      <c r="AU67" s="247">
        <f t="shared" si="1"/>
        <v>60</v>
      </c>
      <c r="AV67" s="1331" t="str">
        <f>AU67&amp;" "&amp;IF(AX67&lt;&gt;"-",'【様式2】職員名簿 '!B103&amp;"/"&amp;AW67&amp;"/"&amp;AX67,"")</f>
        <v xml:space="preserve">60 </v>
      </c>
      <c r="AW67" s="1331">
        <f>'【様式2】職員名簿 '!F103</f>
        <v>0</v>
      </c>
      <c r="AX67" s="1331" t="str">
        <f>IF('【様式2】職員名簿 '!K103="エラー","-",IF(AND('【様式2】職員名簿 '!C103=$AX$3,'【様式2】職員名簿 '!K103=$AX$4),$AX$3,'【様式2】職員名簿 '!K103))</f>
        <v>-</v>
      </c>
      <c r="AY67" s="783">
        <f>IF($AW67="常勤",$AN$2,IF($AW67="非常勤",'【様式2】職員名簿 '!H103,0))</f>
        <v>0</v>
      </c>
      <c r="AZ67" s="406">
        <f>IF($AX67=AZ$3,COUNTIF($AX$8:$AX67,AZ$3),0)</f>
        <v>0</v>
      </c>
      <c r="BA67" s="788" t="str">
        <f t="shared" si="92"/>
        <v/>
      </c>
      <c r="BB67" s="247">
        <f>IF(OR($AX67=BB$3,$AX67=BB$4),COUNTIF($AX$8:$AX67,BB$3)+COUNTIF($AX$8:$AX67,BB$4),0)</f>
        <v>0</v>
      </c>
      <c r="BC67" s="788" t="str">
        <f t="shared" si="93"/>
        <v/>
      </c>
      <c r="BD67" s="407">
        <f>IF(OR($AX67=$BD$4,$AX67=BD$3),COUNTIFS($AX$8:$AX67,BD$3,$AW$8:$AW67,BD$5)+COUNTIFS($AX$8:$AX67,BD$4,$AW$8:$AW67,BD$5),0)</f>
        <v>0</v>
      </c>
      <c r="BE67" s="788" t="str">
        <f t="shared" si="94"/>
        <v/>
      </c>
      <c r="BF67" s="248">
        <f>IF($AX67=BF$3,COUNTIF($AX$8:$AX67,BF$3),0)</f>
        <v>0</v>
      </c>
      <c r="BG67" s="788" t="str">
        <f t="shared" si="95"/>
        <v/>
      </c>
      <c r="BH67" s="247">
        <f>IF(OR($AX67=BH$3,$AX67=BH$4),COUNTIF($AX$8:$AX67,BH$3)+COUNTIF($AX$8:$AX67,BH$4),0)</f>
        <v>0</v>
      </c>
      <c r="BI67" s="788" t="str">
        <f t="shared" si="96"/>
        <v/>
      </c>
      <c r="BJ67" s="247">
        <f>IF($AX67=BJ$4,COUNTIFS($AW$8:$AW67,BJ$3,$AX$8:$AX67,BJ$4),0)</f>
        <v>0</v>
      </c>
      <c r="BK67" s="788" t="str">
        <f t="shared" si="97"/>
        <v/>
      </c>
      <c r="BL67" s="247">
        <f>IF($AX67=BL$3,COUNTIF($AX$8:$AX67,BL$3),0)</f>
        <v>0</v>
      </c>
      <c r="BM67" s="788" t="str">
        <f t="shared" si="98"/>
        <v/>
      </c>
      <c r="BN67" s="247">
        <f>IF($AX67=BN$3,COUNTIF($AX$8:$AX67,BN$3),0)</f>
        <v>0</v>
      </c>
      <c r="BO67" s="788" t="str">
        <f t="shared" si="99"/>
        <v/>
      </c>
      <c r="BP67" s="247">
        <f>IF($AX67&lt;&gt;BP$3,COUNTIF($AX$8:$AX67,"&lt;&gt;"&amp;BP$3),0)</f>
        <v>0</v>
      </c>
      <c r="BQ67" s="788" t="str">
        <f t="shared" si="100"/>
        <v/>
      </c>
      <c r="BR67" s="247">
        <f>IF($AX67=BR$3,COUNTIF($AX$8:$AX67,BR$3),0)</f>
        <v>0</v>
      </c>
      <c r="BS67" s="788" t="str">
        <f t="shared" si="101"/>
        <v/>
      </c>
      <c r="BT67" s="312"/>
      <c r="BU67" s="312"/>
    </row>
    <row r="68" spans="1:73" ht="15" customHeight="1">
      <c r="A68" s="1298"/>
      <c r="B68" s="2734"/>
      <c r="C68" s="2854"/>
      <c r="D68" s="2739" t="str">
        <f t="shared" si="107"/>
        <v/>
      </c>
      <c r="E68" s="2740"/>
      <c r="F68" s="2677"/>
      <c r="G68" s="2677"/>
      <c r="H68" s="2678"/>
      <c r="I68" s="890" t="str">
        <f t="shared" si="108"/>
        <v/>
      </c>
      <c r="J68" s="447" t="str">
        <f t="shared" si="109"/>
        <v/>
      </c>
      <c r="K68" s="1068"/>
      <c r="L68" s="448" t="str">
        <f t="shared" si="110"/>
        <v/>
      </c>
      <c r="M68" s="483">
        <f t="shared" si="111"/>
        <v>0</v>
      </c>
      <c r="N68" s="1942" t="str">
        <f t="shared" si="120"/>
        <v>×</v>
      </c>
      <c r="O68" s="2662" t="str">
        <f t="shared" si="121"/>
        <v>-</v>
      </c>
      <c r="P68" s="436"/>
      <c r="Q68" s="2756"/>
      <c r="R68" s="2756"/>
      <c r="S68" s="2756"/>
      <c r="T68" s="446" t="str">
        <f t="shared" si="88"/>
        <v>保育教諭</v>
      </c>
      <c r="U68" s="407">
        <f t="shared" si="112"/>
        <v>0</v>
      </c>
      <c r="V68" s="446">
        <v>2</v>
      </c>
      <c r="W68" s="446" t="b">
        <f t="shared" si="113"/>
        <v>0</v>
      </c>
      <c r="X68" s="439" t="b">
        <f t="shared" ca="1" si="114"/>
        <v>0</v>
      </c>
      <c r="Y68" s="440" t="b">
        <f>COUNTIF($AD$30:AD67,AD68)+COUNTIF(AD69:$AD$147,AD68)-COUNTIF(Z68:AC68,AD68)=0</f>
        <v>0</v>
      </c>
      <c r="Z68" s="976" t="s">
        <v>804</v>
      </c>
      <c r="AA68" s="976" t="s">
        <v>804</v>
      </c>
      <c r="AB68" s="976" t="s">
        <v>804</v>
      </c>
      <c r="AC68" s="976" t="s">
        <v>804</v>
      </c>
      <c r="AD68" s="972">
        <f t="shared" si="115"/>
        <v>0</v>
      </c>
      <c r="AE68" s="248" t="b">
        <f t="shared" si="116"/>
        <v>0</v>
      </c>
      <c r="AF68" s="783" t="b">
        <f t="shared" si="54"/>
        <v>0</v>
      </c>
      <c r="AG68" s="446" t="s">
        <v>804</v>
      </c>
      <c r="AH68" s="473">
        <f t="shared" si="117"/>
        <v>0</v>
      </c>
      <c r="AI68" s="446">
        <v>2</v>
      </c>
      <c r="AJ68" s="248">
        <f t="shared" si="118"/>
        <v>2</v>
      </c>
      <c r="AK68" s="249">
        <f t="shared" si="119"/>
        <v>0</v>
      </c>
      <c r="AS68" s="461"/>
      <c r="AT68" s="461"/>
      <c r="AU68" s="247">
        <f t="shared" si="1"/>
        <v>61</v>
      </c>
      <c r="AV68" s="1331" t="str">
        <f>AU68&amp;" "&amp;IF(AX68&lt;&gt;"-",'【様式2】職員名簿 '!B104&amp;"/"&amp;AW68&amp;"/"&amp;AX68,"")</f>
        <v xml:space="preserve">61 </v>
      </c>
      <c r="AW68" s="1331">
        <f>'【様式2】職員名簿 '!F104</f>
        <v>0</v>
      </c>
      <c r="AX68" s="1331" t="str">
        <f>IF('【様式2】職員名簿 '!K104="エラー","-",IF(AND('【様式2】職員名簿 '!C104=$AX$3,'【様式2】職員名簿 '!K104=$AX$4),$AX$3,'【様式2】職員名簿 '!K104))</f>
        <v>-</v>
      </c>
      <c r="AY68" s="783">
        <f>IF($AW68="常勤",$AN$2,IF($AW68="非常勤",'【様式2】職員名簿 '!H104,0))</f>
        <v>0</v>
      </c>
      <c r="AZ68" s="406">
        <f>IF($AX68=AZ$3,COUNTIF($AX$8:$AX68,AZ$3),0)</f>
        <v>0</v>
      </c>
      <c r="BA68" s="788" t="str">
        <f t="shared" si="92"/>
        <v/>
      </c>
      <c r="BB68" s="247">
        <f>IF(OR($AX68=BB$3,$AX68=BB$4),COUNTIF($AX$8:$AX68,BB$3)+COUNTIF($AX$8:$AX68,BB$4),0)</f>
        <v>0</v>
      </c>
      <c r="BC68" s="788" t="str">
        <f t="shared" si="93"/>
        <v/>
      </c>
      <c r="BD68" s="407">
        <f>IF(OR($AX68=$BD$4,$AX68=BD$3),COUNTIFS($AX$8:$AX68,BD$3,$AW$8:$AW68,BD$5)+COUNTIFS($AX$8:$AX68,BD$4,$AW$8:$AW68,BD$5),0)</f>
        <v>0</v>
      </c>
      <c r="BE68" s="788" t="str">
        <f t="shared" si="94"/>
        <v/>
      </c>
      <c r="BF68" s="248">
        <f>IF($AX68=BF$3,COUNTIF($AX$8:$AX68,BF$3),0)</f>
        <v>0</v>
      </c>
      <c r="BG68" s="788" t="str">
        <f t="shared" si="95"/>
        <v/>
      </c>
      <c r="BH68" s="247">
        <f>IF(OR($AX68=BH$3,$AX68=BH$4),COUNTIF($AX$8:$AX68,BH$3)+COUNTIF($AX$8:$AX68,BH$4),0)</f>
        <v>0</v>
      </c>
      <c r="BI68" s="788" t="str">
        <f t="shared" si="96"/>
        <v/>
      </c>
      <c r="BJ68" s="247">
        <f>IF($AX68=BJ$4,COUNTIFS($AW$8:$AW68,BJ$3,$AX$8:$AX68,BJ$4),0)</f>
        <v>0</v>
      </c>
      <c r="BK68" s="788" t="str">
        <f t="shared" si="97"/>
        <v/>
      </c>
      <c r="BL68" s="247">
        <f>IF($AX68=BL$3,COUNTIF($AX$8:$AX68,BL$3),0)</f>
        <v>0</v>
      </c>
      <c r="BM68" s="788" t="str">
        <f t="shared" si="98"/>
        <v/>
      </c>
      <c r="BN68" s="247">
        <f>IF($AX68=BN$3,COUNTIF($AX$8:$AX68,BN$3),0)</f>
        <v>0</v>
      </c>
      <c r="BO68" s="788" t="str">
        <f t="shared" si="99"/>
        <v/>
      </c>
      <c r="BP68" s="247">
        <f>IF($AX68&lt;&gt;BP$3,COUNTIF($AX$8:$AX68,"&lt;&gt;"&amp;BP$3),0)</f>
        <v>0</v>
      </c>
      <c r="BQ68" s="788" t="str">
        <f t="shared" si="100"/>
        <v/>
      </c>
      <c r="BR68" s="247">
        <f>IF($AX68=BR$3,COUNTIF($AX$8:$AX68,BR$3),0)</f>
        <v>0</v>
      </c>
      <c r="BS68" s="788" t="str">
        <f t="shared" si="101"/>
        <v/>
      </c>
      <c r="BT68" s="312"/>
      <c r="BU68" s="312"/>
    </row>
    <row r="69" spans="1:73" ht="15" customHeight="1">
      <c r="A69" s="1298"/>
      <c r="B69" s="2734"/>
      <c r="C69" s="2854"/>
      <c r="D69" s="2739" t="str">
        <f t="shared" si="107"/>
        <v/>
      </c>
      <c r="E69" s="2740"/>
      <c r="F69" s="2677"/>
      <c r="G69" s="2677"/>
      <c r="H69" s="2678"/>
      <c r="I69" s="890" t="str">
        <f t="shared" si="108"/>
        <v/>
      </c>
      <c r="J69" s="447" t="str">
        <f t="shared" si="109"/>
        <v/>
      </c>
      <c r="K69" s="1068"/>
      <c r="L69" s="448" t="str">
        <f t="shared" si="110"/>
        <v/>
      </c>
      <c r="M69" s="483">
        <f t="shared" si="111"/>
        <v>0</v>
      </c>
      <c r="N69" s="1942" t="str">
        <f t="shared" si="120"/>
        <v>×</v>
      </c>
      <c r="O69" s="2662" t="str">
        <f t="shared" si="121"/>
        <v>-</v>
      </c>
      <c r="P69" s="436"/>
      <c r="Q69" s="2756"/>
      <c r="R69" s="2756"/>
      <c r="S69" s="2756"/>
      <c r="T69" s="446" t="str">
        <f t="shared" si="88"/>
        <v>保育教諭</v>
      </c>
      <c r="U69" s="407">
        <f t="shared" si="112"/>
        <v>0</v>
      </c>
      <c r="V69" s="446">
        <v>2</v>
      </c>
      <c r="W69" s="446" t="b">
        <f t="shared" si="113"/>
        <v>0</v>
      </c>
      <c r="X69" s="439" t="b">
        <f t="shared" ca="1" si="114"/>
        <v>0</v>
      </c>
      <c r="Y69" s="440" t="b">
        <f>COUNTIF($AD$30:AD68,AD69)+COUNTIF(AD70:$AD$147,AD69)-COUNTIF(Z69:AC69,AD69)=0</f>
        <v>0</v>
      </c>
      <c r="Z69" s="976" t="s">
        <v>804</v>
      </c>
      <c r="AA69" s="976" t="s">
        <v>804</v>
      </c>
      <c r="AB69" s="976" t="s">
        <v>804</v>
      </c>
      <c r="AC69" s="976" t="s">
        <v>804</v>
      </c>
      <c r="AD69" s="972">
        <f t="shared" si="115"/>
        <v>0</v>
      </c>
      <c r="AE69" s="248" t="b">
        <f t="shared" si="116"/>
        <v>0</v>
      </c>
      <c r="AF69" s="783" t="b">
        <f t="shared" si="54"/>
        <v>0</v>
      </c>
      <c r="AG69" s="446" t="s">
        <v>804</v>
      </c>
      <c r="AH69" s="473">
        <f t="shared" si="117"/>
        <v>0</v>
      </c>
      <c r="AI69" s="446">
        <v>2</v>
      </c>
      <c r="AJ69" s="248">
        <f t="shared" si="118"/>
        <v>2</v>
      </c>
      <c r="AK69" s="249">
        <f t="shared" si="119"/>
        <v>0</v>
      </c>
      <c r="AQ69" s="461"/>
      <c r="AS69" s="461"/>
      <c r="AT69" s="461"/>
      <c r="AU69" s="247">
        <f t="shared" si="1"/>
        <v>62</v>
      </c>
      <c r="AV69" s="1331" t="str">
        <f>AU69&amp;" "&amp;IF(AX69&lt;&gt;"-",'【様式2】職員名簿 '!B105&amp;"/"&amp;AW69&amp;"/"&amp;AX69,"")</f>
        <v xml:space="preserve">62 </v>
      </c>
      <c r="AW69" s="1331">
        <f>'【様式2】職員名簿 '!F105</f>
        <v>0</v>
      </c>
      <c r="AX69" s="1331" t="str">
        <f>IF('【様式2】職員名簿 '!K105="エラー","-",IF(AND('【様式2】職員名簿 '!C105=$AX$3,'【様式2】職員名簿 '!K105=$AX$4),$AX$3,'【様式2】職員名簿 '!K105))</f>
        <v>-</v>
      </c>
      <c r="AY69" s="783">
        <f>IF($AW69="常勤",$AN$2,IF($AW69="非常勤",'【様式2】職員名簿 '!H105,0))</f>
        <v>0</v>
      </c>
      <c r="AZ69" s="406">
        <f>IF($AX69=AZ$3,COUNTIF($AX$8:$AX69,AZ$3),0)</f>
        <v>0</v>
      </c>
      <c r="BA69" s="788" t="str">
        <f t="shared" si="92"/>
        <v/>
      </c>
      <c r="BB69" s="247">
        <f>IF(OR($AX69=BB$3,$AX69=BB$4),COUNTIF($AX$8:$AX69,BB$3)+COUNTIF($AX$8:$AX69,BB$4),0)</f>
        <v>0</v>
      </c>
      <c r="BC69" s="788" t="str">
        <f t="shared" si="93"/>
        <v/>
      </c>
      <c r="BD69" s="407">
        <f>IF(OR($AX69=$BD$4,$AX69=BD$3),COUNTIFS($AX$8:$AX69,BD$3,$AW$8:$AW69,BD$5)+COUNTIFS($AX$8:$AX69,BD$4,$AW$8:$AW69,BD$5),0)</f>
        <v>0</v>
      </c>
      <c r="BE69" s="788" t="str">
        <f t="shared" si="94"/>
        <v/>
      </c>
      <c r="BF69" s="248">
        <f>IF($AX69=BF$3,COUNTIF($AX$8:$AX69,BF$3),0)</f>
        <v>0</v>
      </c>
      <c r="BG69" s="788" t="str">
        <f t="shared" si="95"/>
        <v/>
      </c>
      <c r="BH69" s="247">
        <f>IF(OR($AX69=BH$3,$AX69=BH$4),COUNTIF($AX$8:$AX69,BH$3)+COUNTIF($AX$8:$AX69,BH$4),0)</f>
        <v>0</v>
      </c>
      <c r="BI69" s="788" t="str">
        <f t="shared" si="96"/>
        <v/>
      </c>
      <c r="BJ69" s="247">
        <f>IF($AX69=BJ$4,COUNTIFS($AW$8:$AW69,BJ$3,$AX$8:$AX69,BJ$4),0)</f>
        <v>0</v>
      </c>
      <c r="BK69" s="788" t="str">
        <f t="shared" si="97"/>
        <v/>
      </c>
      <c r="BL69" s="247">
        <f>IF($AX69=BL$3,COUNTIF($AX$8:$AX69,BL$3),0)</f>
        <v>0</v>
      </c>
      <c r="BM69" s="788" t="str">
        <f t="shared" si="98"/>
        <v/>
      </c>
      <c r="BN69" s="247">
        <f>IF($AX69=BN$3,COUNTIF($AX$8:$AX69,BN$3),0)</f>
        <v>0</v>
      </c>
      <c r="BO69" s="788" t="str">
        <f t="shared" si="99"/>
        <v/>
      </c>
      <c r="BP69" s="247">
        <f>IF($AX69&lt;&gt;BP$3,COUNTIF($AX$8:$AX69,"&lt;&gt;"&amp;BP$3),0)</f>
        <v>0</v>
      </c>
      <c r="BQ69" s="788" t="str">
        <f t="shared" si="100"/>
        <v/>
      </c>
      <c r="BR69" s="247">
        <f>IF($AX69=BR$3,COUNTIF($AX$8:$AX69,BR$3),0)</f>
        <v>0</v>
      </c>
      <c r="BS69" s="788" t="str">
        <f t="shared" si="101"/>
        <v/>
      </c>
      <c r="BT69" s="312"/>
      <c r="BU69" s="312"/>
    </row>
    <row r="70" spans="1:73" ht="15" customHeight="1">
      <c r="A70" s="1298"/>
      <c r="B70" s="2734"/>
      <c r="C70" s="2854" t="s">
        <v>839</v>
      </c>
      <c r="D70" s="2739" t="str">
        <f t="shared" si="107"/>
        <v/>
      </c>
      <c r="E70" s="2740"/>
      <c r="F70" s="2677"/>
      <c r="G70" s="2677"/>
      <c r="H70" s="2678"/>
      <c r="I70" s="890" t="str">
        <f t="shared" si="108"/>
        <v/>
      </c>
      <c r="J70" s="447" t="str">
        <f>IF(OR(F70=0,F70=""),"",IF(W70,IF(X70,IF(OR(Y70,V70=3),IF(AE70,IF(OR(AF70,V70=2,V70=3),"○","要常勤"),"時間無"),"重複"),"名簿無"),"対象外"))</f>
        <v/>
      </c>
      <c r="K70" s="1068"/>
      <c r="L70" s="448" t="str">
        <f t="shared" si="110"/>
        <v/>
      </c>
      <c r="M70" s="483">
        <f t="shared" si="111"/>
        <v>0</v>
      </c>
      <c r="N70" s="1942" t="str">
        <f t="shared" si="120"/>
        <v>×</v>
      </c>
      <c r="O70" s="2662" t="str">
        <f t="shared" si="121"/>
        <v>-</v>
      </c>
      <c r="P70" s="436"/>
      <c r="Q70" s="2756"/>
      <c r="R70" s="2756"/>
      <c r="S70" s="2756"/>
      <c r="T70" s="446" t="str">
        <f t="shared" si="88"/>
        <v>保育教諭</v>
      </c>
      <c r="U70" s="407">
        <f t="shared" si="112"/>
        <v>0</v>
      </c>
      <c r="V70" s="446">
        <v>2</v>
      </c>
      <c r="W70" s="446" t="b">
        <f t="shared" si="113"/>
        <v>0</v>
      </c>
      <c r="X70" s="439" t="b">
        <f t="shared" ca="1" si="114"/>
        <v>0</v>
      </c>
      <c r="Y70" s="440" t="b">
        <f>COUNTIF($AD$30:AD69,AD70)+COUNTIF(AD71:$AD$147,AD70)-COUNTIF(Z70:AC70,AD70)=0</f>
        <v>0</v>
      </c>
      <c r="Z70" s="976" t="s">
        <v>804</v>
      </c>
      <c r="AA70" s="976" t="s">
        <v>804</v>
      </c>
      <c r="AB70" s="976" t="s">
        <v>804</v>
      </c>
      <c r="AC70" s="976" t="s">
        <v>804</v>
      </c>
      <c r="AD70" s="972">
        <f t="shared" si="115"/>
        <v>0</v>
      </c>
      <c r="AE70" s="248" t="b">
        <f t="shared" si="116"/>
        <v>0</v>
      </c>
      <c r="AF70" s="783" t="b">
        <f t="shared" si="54"/>
        <v>0</v>
      </c>
      <c r="AG70" s="446" t="s">
        <v>804</v>
      </c>
      <c r="AH70" s="473">
        <f t="shared" si="117"/>
        <v>0</v>
      </c>
      <c r="AI70" s="446">
        <v>2</v>
      </c>
      <c r="AJ70" s="248">
        <f t="shared" si="118"/>
        <v>2</v>
      </c>
      <c r="AK70" s="249">
        <f t="shared" si="119"/>
        <v>0</v>
      </c>
      <c r="AQ70" s="461"/>
      <c r="AT70" s="461"/>
      <c r="AU70" s="247">
        <f t="shared" si="1"/>
        <v>63</v>
      </c>
      <c r="AV70" s="1331" t="str">
        <f>AU70&amp;" "&amp;IF(AX70&lt;&gt;"-",'【様式2】職員名簿 '!B106&amp;"/"&amp;AW70&amp;"/"&amp;AX70,"")</f>
        <v xml:space="preserve">63 </v>
      </c>
      <c r="AW70" s="1331">
        <f>'【様式2】職員名簿 '!F106</f>
        <v>0</v>
      </c>
      <c r="AX70" s="1331" t="str">
        <f>IF('【様式2】職員名簿 '!K106="エラー","-",IF(AND('【様式2】職員名簿 '!C106=$AX$3,'【様式2】職員名簿 '!K106=$AX$4),$AX$3,'【様式2】職員名簿 '!K106))</f>
        <v>-</v>
      </c>
      <c r="AY70" s="783">
        <f>IF($AW70="常勤",$AN$2,IF($AW70="非常勤",'【様式2】職員名簿 '!H106,0))</f>
        <v>0</v>
      </c>
      <c r="AZ70" s="406">
        <f>IF($AX70=AZ$3,COUNTIF($AX$8:$AX70,AZ$3),0)</f>
        <v>0</v>
      </c>
      <c r="BA70" s="788" t="str">
        <f t="shared" si="92"/>
        <v/>
      </c>
      <c r="BB70" s="247">
        <f>IF(OR($AX70=BB$3,$AX70=BB$4),COUNTIF($AX$8:$AX70,BB$3)+COUNTIF($AX$8:$AX70,BB$4),0)</f>
        <v>0</v>
      </c>
      <c r="BC70" s="788" t="str">
        <f t="shared" si="93"/>
        <v/>
      </c>
      <c r="BD70" s="407">
        <f>IF(OR($AX70=$BD$4,$AX70=BD$3),COUNTIFS($AX$8:$AX70,BD$3,$AW$8:$AW70,BD$5)+COUNTIFS($AX$8:$AX70,BD$4,$AW$8:$AW70,BD$5),0)</f>
        <v>0</v>
      </c>
      <c r="BE70" s="788" t="str">
        <f t="shared" si="94"/>
        <v/>
      </c>
      <c r="BF70" s="248">
        <f>IF($AX70=BF$3,COUNTIF($AX$8:$AX70,BF$3),0)</f>
        <v>0</v>
      </c>
      <c r="BG70" s="788" t="str">
        <f t="shared" si="95"/>
        <v/>
      </c>
      <c r="BH70" s="247">
        <f>IF(OR($AX70=BH$3,$AX70=BH$4),COUNTIF($AX$8:$AX70,BH$3)+COUNTIF($AX$8:$AX70,BH$4),0)</f>
        <v>0</v>
      </c>
      <c r="BI70" s="788" t="str">
        <f t="shared" si="96"/>
        <v/>
      </c>
      <c r="BJ70" s="247">
        <f>IF($AX70=BJ$4,COUNTIFS($AW$8:$AW70,BJ$3,$AX$8:$AX70,BJ$4),0)</f>
        <v>0</v>
      </c>
      <c r="BK70" s="788" t="str">
        <f t="shared" si="97"/>
        <v/>
      </c>
      <c r="BL70" s="247">
        <f>IF($AX70=BL$3,COUNTIF($AX$8:$AX70,BL$3),0)</f>
        <v>0</v>
      </c>
      <c r="BM70" s="788" t="str">
        <f t="shared" si="98"/>
        <v/>
      </c>
      <c r="BN70" s="247">
        <f>IF($AX70=BN$3,COUNTIF($AX$8:$AX70,BN$3),0)</f>
        <v>0</v>
      </c>
      <c r="BO70" s="788" t="str">
        <f t="shared" si="99"/>
        <v/>
      </c>
      <c r="BP70" s="247">
        <f>IF($AX70&lt;&gt;BP$3,COUNTIF($AX$8:$AX70,"&lt;&gt;"&amp;BP$3),0)</f>
        <v>0</v>
      </c>
      <c r="BQ70" s="788" t="str">
        <f t="shared" si="100"/>
        <v/>
      </c>
      <c r="BR70" s="247">
        <f>IF($AX70=BR$3,COUNTIF($AX$8:$AX70,BR$3),0)</f>
        <v>0</v>
      </c>
      <c r="BS70" s="788" t="str">
        <f t="shared" si="101"/>
        <v/>
      </c>
      <c r="BT70" s="312"/>
      <c r="BU70" s="312"/>
    </row>
    <row r="71" spans="1:73" ht="15" customHeight="1">
      <c r="A71" s="1298"/>
      <c r="B71" s="2734"/>
      <c r="C71" s="2854"/>
      <c r="D71" s="2739" t="str">
        <f t="shared" si="107"/>
        <v/>
      </c>
      <c r="E71" s="2740"/>
      <c r="F71" s="2677"/>
      <c r="G71" s="2677"/>
      <c r="H71" s="2678"/>
      <c r="I71" s="890" t="str">
        <f t="shared" si="108"/>
        <v/>
      </c>
      <c r="J71" s="447" t="str">
        <f t="shared" si="109"/>
        <v/>
      </c>
      <c r="K71" s="1068"/>
      <c r="L71" s="448" t="str">
        <f t="shared" si="110"/>
        <v/>
      </c>
      <c r="M71" s="483">
        <f t="shared" si="111"/>
        <v>0</v>
      </c>
      <c r="N71" s="1942" t="str">
        <f t="shared" si="120"/>
        <v>×</v>
      </c>
      <c r="O71" s="2662" t="str">
        <f t="shared" si="121"/>
        <v>-</v>
      </c>
      <c r="P71" s="436"/>
      <c r="Q71" s="2756"/>
      <c r="R71" s="2756"/>
      <c r="S71" s="2756"/>
      <c r="T71" s="446" t="str">
        <f t="shared" si="88"/>
        <v>保育教諭</v>
      </c>
      <c r="U71" s="407">
        <f t="shared" si="112"/>
        <v>0</v>
      </c>
      <c r="V71" s="446">
        <v>2</v>
      </c>
      <c r="W71" s="446" t="b">
        <f t="shared" si="113"/>
        <v>0</v>
      </c>
      <c r="X71" s="439" t="b">
        <f t="shared" ca="1" si="114"/>
        <v>0</v>
      </c>
      <c r="Y71" s="440" t="b">
        <f>COUNTIF($AD$30:AD70,AD71)+COUNTIF(AD72:$AD$147,AD71)-COUNTIF(Z71:AC71,AD71)=0</f>
        <v>0</v>
      </c>
      <c r="Z71" s="976" t="s">
        <v>804</v>
      </c>
      <c r="AA71" s="976" t="s">
        <v>804</v>
      </c>
      <c r="AB71" s="976" t="s">
        <v>804</v>
      </c>
      <c r="AC71" s="976" t="s">
        <v>804</v>
      </c>
      <c r="AD71" s="972">
        <f t="shared" si="115"/>
        <v>0</v>
      </c>
      <c r="AE71" s="248" t="b">
        <f t="shared" si="116"/>
        <v>0</v>
      </c>
      <c r="AF71" s="783" t="b">
        <f t="shared" si="54"/>
        <v>0</v>
      </c>
      <c r="AG71" s="446" t="s">
        <v>804</v>
      </c>
      <c r="AH71" s="473">
        <f t="shared" si="117"/>
        <v>0</v>
      </c>
      <c r="AI71" s="446">
        <v>2</v>
      </c>
      <c r="AJ71" s="248">
        <f t="shared" si="118"/>
        <v>2</v>
      </c>
      <c r="AK71" s="249">
        <f t="shared" si="119"/>
        <v>0</v>
      </c>
      <c r="AQ71" s="461"/>
      <c r="AS71" s="461"/>
      <c r="AU71" s="247">
        <f t="shared" si="1"/>
        <v>64</v>
      </c>
      <c r="AV71" s="1331" t="str">
        <f>AU71&amp;" "&amp;IF(AX71&lt;&gt;"-",'【様式2】職員名簿 '!B107&amp;"/"&amp;AW71&amp;"/"&amp;AX71,"")</f>
        <v xml:space="preserve">64 </v>
      </c>
      <c r="AW71" s="1331">
        <f>'【様式2】職員名簿 '!F107</f>
        <v>0</v>
      </c>
      <c r="AX71" s="1331" t="str">
        <f>IF('【様式2】職員名簿 '!K107="エラー","-",IF(AND('【様式2】職員名簿 '!C107=$AX$3,'【様式2】職員名簿 '!K107=$AX$4),$AX$3,'【様式2】職員名簿 '!K107))</f>
        <v>-</v>
      </c>
      <c r="AY71" s="783">
        <f>IF($AW71="常勤",$AN$2,IF($AW71="非常勤",'【様式2】職員名簿 '!H107,0))</f>
        <v>0</v>
      </c>
      <c r="AZ71" s="406">
        <f>IF($AX71=AZ$3,COUNTIF($AX$8:$AX71,AZ$3),0)</f>
        <v>0</v>
      </c>
      <c r="BA71" s="788" t="str">
        <f t="shared" si="92"/>
        <v/>
      </c>
      <c r="BB71" s="247">
        <f>IF(OR($AX71=BB$3,$AX71=BB$4),COUNTIF($AX$8:$AX71,BB$3)+COUNTIF($AX$8:$AX71,BB$4),0)</f>
        <v>0</v>
      </c>
      <c r="BC71" s="788" t="str">
        <f t="shared" si="93"/>
        <v/>
      </c>
      <c r="BD71" s="407">
        <f>IF(OR($AX71=$BD$4,$AX71=BD$3),COUNTIFS($AX$8:$AX71,BD$3,$AW$8:$AW71,BD$5)+COUNTIFS($AX$8:$AX71,BD$4,$AW$8:$AW71,BD$5),0)</f>
        <v>0</v>
      </c>
      <c r="BE71" s="788" t="str">
        <f t="shared" si="94"/>
        <v/>
      </c>
      <c r="BF71" s="248">
        <f>IF($AX71=BF$3,COUNTIF($AX$8:$AX71,BF$3),0)</f>
        <v>0</v>
      </c>
      <c r="BG71" s="788" t="str">
        <f t="shared" si="95"/>
        <v/>
      </c>
      <c r="BH71" s="247">
        <f>IF(OR($AX71=BH$3,$AX71=BH$4),COUNTIF($AX$8:$AX71,BH$3)+COUNTIF($AX$8:$AX71,BH$4),0)</f>
        <v>0</v>
      </c>
      <c r="BI71" s="788" t="str">
        <f t="shared" si="96"/>
        <v/>
      </c>
      <c r="BJ71" s="247">
        <f>IF($AX71=BJ$4,COUNTIFS($AW$8:$AW71,BJ$3,$AX$8:$AX71,BJ$4),0)</f>
        <v>0</v>
      </c>
      <c r="BK71" s="788" t="str">
        <f t="shared" si="97"/>
        <v/>
      </c>
      <c r="BL71" s="247">
        <f>IF($AX71=BL$3,COUNTIF($AX$8:$AX71,BL$3),0)</f>
        <v>0</v>
      </c>
      <c r="BM71" s="788" t="str">
        <f t="shared" si="98"/>
        <v/>
      </c>
      <c r="BN71" s="247">
        <f>IF($AX71=BN$3,COUNTIF($AX$8:$AX71,BN$3),0)</f>
        <v>0</v>
      </c>
      <c r="BO71" s="788" t="str">
        <f t="shared" si="99"/>
        <v/>
      </c>
      <c r="BP71" s="247">
        <f>IF($AX71&lt;&gt;BP$3,COUNTIF($AX$8:$AX71,"&lt;&gt;"&amp;BP$3),0)</f>
        <v>0</v>
      </c>
      <c r="BQ71" s="788" t="str">
        <f t="shared" si="100"/>
        <v/>
      </c>
      <c r="BR71" s="247">
        <f>IF($AX71=BR$3,COUNTIF($AX$8:$AX71,BR$3),0)</f>
        <v>0</v>
      </c>
      <c r="BS71" s="788" t="str">
        <f t="shared" si="101"/>
        <v/>
      </c>
      <c r="BT71" s="312"/>
      <c r="BU71" s="312"/>
    </row>
    <row r="72" spans="1:73" ht="15" customHeight="1">
      <c r="A72" s="1298"/>
      <c r="B72" s="2734"/>
      <c r="C72" s="2854"/>
      <c r="D72" s="2739" t="str">
        <f>IF(W72,T72,"")</f>
        <v/>
      </c>
      <c r="E72" s="2740"/>
      <c r="F72" s="2677"/>
      <c r="G72" s="2677"/>
      <c r="H72" s="2678"/>
      <c r="I72" s="890" t="str">
        <f t="shared" si="108"/>
        <v/>
      </c>
      <c r="J72" s="447" t="str">
        <f t="shared" si="109"/>
        <v/>
      </c>
      <c r="K72" s="1068"/>
      <c r="L72" s="448" t="str">
        <f t="shared" si="110"/>
        <v/>
      </c>
      <c r="M72" s="483">
        <f t="shared" si="111"/>
        <v>0</v>
      </c>
      <c r="N72" s="1942" t="str">
        <f t="shared" si="120"/>
        <v>×</v>
      </c>
      <c r="O72" s="2662" t="str">
        <f t="shared" si="121"/>
        <v>-</v>
      </c>
      <c r="P72" s="436"/>
      <c r="Q72" s="2756"/>
      <c r="R72" s="2756"/>
      <c r="S72" s="2756"/>
      <c r="T72" s="446" t="str">
        <f t="shared" si="88"/>
        <v>保育教諭</v>
      </c>
      <c r="U72" s="407">
        <f t="shared" si="112"/>
        <v>0</v>
      </c>
      <c r="V72" s="446">
        <v>2</v>
      </c>
      <c r="W72" s="446" t="b">
        <f t="shared" si="113"/>
        <v>0</v>
      </c>
      <c r="X72" s="439" t="b">
        <f t="shared" ca="1" si="114"/>
        <v>0</v>
      </c>
      <c r="Y72" s="440" t="b">
        <f>COUNTIF($AD$30:AD71,AD72)+COUNTIF(AD73:$AD$147,AD72)-COUNTIF(Z72:AC72,AD72)=0</f>
        <v>0</v>
      </c>
      <c r="Z72" s="976" t="s">
        <v>804</v>
      </c>
      <c r="AA72" s="976" t="s">
        <v>804</v>
      </c>
      <c r="AB72" s="976" t="s">
        <v>804</v>
      </c>
      <c r="AC72" s="976" t="s">
        <v>804</v>
      </c>
      <c r="AD72" s="972">
        <f t="shared" si="115"/>
        <v>0</v>
      </c>
      <c r="AE72" s="248" t="b">
        <f t="shared" si="116"/>
        <v>0</v>
      </c>
      <c r="AF72" s="783" t="b">
        <f t="shared" si="54"/>
        <v>0</v>
      </c>
      <c r="AG72" s="446" t="s">
        <v>804</v>
      </c>
      <c r="AH72" s="473">
        <f t="shared" si="117"/>
        <v>0</v>
      </c>
      <c r="AI72" s="446">
        <v>2</v>
      </c>
      <c r="AJ72" s="248">
        <f t="shared" si="118"/>
        <v>2</v>
      </c>
      <c r="AK72" s="249">
        <f t="shared" si="119"/>
        <v>0</v>
      </c>
      <c r="AR72" s="461"/>
      <c r="AS72" s="461"/>
      <c r="AT72" s="461"/>
      <c r="AU72" s="247">
        <f t="shared" si="1"/>
        <v>65</v>
      </c>
      <c r="AV72" s="1331" t="str">
        <f>AU72&amp;" "&amp;IF(AX72&lt;&gt;"-",'【様式2】職員名簿 '!B108&amp;"/"&amp;AW72&amp;"/"&amp;AX72,"")</f>
        <v xml:space="preserve">65 </v>
      </c>
      <c r="AW72" s="1331">
        <f>'【様式2】職員名簿 '!F108</f>
        <v>0</v>
      </c>
      <c r="AX72" s="1331" t="str">
        <f>IF('【様式2】職員名簿 '!K108="エラー","-",IF(AND('【様式2】職員名簿 '!C108=$AX$3,'【様式2】職員名簿 '!K108=$AX$4),$AX$3,'【様式2】職員名簿 '!K108))</f>
        <v>-</v>
      </c>
      <c r="AY72" s="783">
        <f>IF($AW72="常勤",$AN$2,IF($AW72="非常勤",'【様式2】職員名簿 '!H108,0))</f>
        <v>0</v>
      </c>
      <c r="AZ72" s="406">
        <f>IF($AX72=AZ$3,COUNTIF($AX$8:$AX72,AZ$3),0)</f>
        <v>0</v>
      </c>
      <c r="BA72" s="788" t="str">
        <f t="shared" si="92"/>
        <v/>
      </c>
      <c r="BB72" s="247">
        <f>IF(OR($AX72=BB$3,$AX72=BB$4),COUNTIF($AX$8:$AX72,BB$3)+COUNTIF($AX$8:$AX72,BB$4),0)</f>
        <v>0</v>
      </c>
      <c r="BC72" s="788" t="str">
        <f t="shared" si="93"/>
        <v/>
      </c>
      <c r="BD72" s="407">
        <f>IF(OR($AX72=$BD$4,$AX72=BD$3),COUNTIFS($AX$8:$AX72,BD$3,$AW$8:$AW72,BD$5)+COUNTIFS($AX$8:$AX72,BD$4,$AW$8:$AW72,BD$5),0)</f>
        <v>0</v>
      </c>
      <c r="BE72" s="788" t="str">
        <f t="shared" si="94"/>
        <v/>
      </c>
      <c r="BF72" s="248">
        <f>IF($AX72=BF$3,COUNTIF($AX$8:$AX72,BF$3),0)</f>
        <v>0</v>
      </c>
      <c r="BG72" s="788" t="str">
        <f t="shared" si="95"/>
        <v/>
      </c>
      <c r="BH72" s="247">
        <f>IF(OR($AX72=BH$3,$AX72=BH$4),COUNTIF($AX$8:$AX72,BH$3)+COUNTIF($AX$8:$AX72,BH$4),0)</f>
        <v>0</v>
      </c>
      <c r="BI72" s="788" t="str">
        <f t="shared" si="96"/>
        <v/>
      </c>
      <c r="BJ72" s="247">
        <f>IF($AX72=BJ$4,COUNTIFS($AW$8:$AW72,BJ$3,$AX$8:$AX72,BJ$4),0)</f>
        <v>0</v>
      </c>
      <c r="BK72" s="788" t="str">
        <f t="shared" si="97"/>
        <v/>
      </c>
      <c r="BL72" s="247">
        <f>IF($AX72=BL$3,COUNTIF($AX$8:$AX72,BL$3),0)</f>
        <v>0</v>
      </c>
      <c r="BM72" s="788" t="str">
        <f t="shared" si="98"/>
        <v/>
      </c>
      <c r="BN72" s="247">
        <f>IF($AX72=BN$3,COUNTIF($AX$8:$AX72,BN$3),0)</f>
        <v>0</v>
      </c>
      <c r="BO72" s="788" t="str">
        <f t="shared" si="99"/>
        <v/>
      </c>
      <c r="BP72" s="247">
        <f>IF($AX72&lt;&gt;BP$3,COUNTIF($AX$8:$AX72,"&lt;&gt;"&amp;BP$3),0)</f>
        <v>0</v>
      </c>
      <c r="BQ72" s="788" t="str">
        <f t="shared" si="100"/>
        <v/>
      </c>
      <c r="BR72" s="247">
        <f>IF($AX72=BR$3,COUNTIF($AX$8:$AX72,BR$3),0)</f>
        <v>0</v>
      </c>
      <c r="BS72" s="788" t="str">
        <f t="shared" si="101"/>
        <v/>
      </c>
      <c r="BT72" s="312"/>
      <c r="BU72" s="312"/>
    </row>
    <row r="73" spans="1:73" ht="15" customHeight="1">
      <c r="A73" s="1298"/>
      <c r="B73" s="2735"/>
      <c r="C73" s="2855"/>
      <c r="D73" s="2673" t="str">
        <f t="shared" si="107"/>
        <v/>
      </c>
      <c r="E73" s="2674"/>
      <c r="F73" s="2675"/>
      <c r="G73" s="2675"/>
      <c r="H73" s="2676"/>
      <c r="I73" s="888" t="str">
        <f t="shared" si="108"/>
        <v/>
      </c>
      <c r="J73" s="458" t="str">
        <f t="shared" si="109"/>
        <v/>
      </c>
      <c r="K73" s="1069"/>
      <c r="L73" s="475" t="str">
        <f t="shared" si="110"/>
        <v/>
      </c>
      <c r="M73" s="459">
        <f t="shared" si="111"/>
        <v>0</v>
      </c>
      <c r="N73" s="2761" t="str">
        <f t="shared" si="120"/>
        <v>×</v>
      </c>
      <c r="O73" s="2663" t="str">
        <f t="shared" si="121"/>
        <v>-</v>
      </c>
      <c r="P73" s="436"/>
      <c r="Q73" s="2749"/>
      <c r="R73" s="2749"/>
      <c r="S73" s="2749"/>
      <c r="T73" s="446" t="str">
        <f t="shared" si="88"/>
        <v>保育教諭</v>
      </c>
      <c r="U73" s="407">
        <f t="shared" si="112"/>
        <v>0</v>
      </c>
      <c r="V73" s="446">
        <v>2</v>
      </c>
      <c r="W73" s="446" t="b">
        <f t="shared" si="113"/>
        <v>0</v>
      </c>
      <c r="X73" s="439" t="b">
        <f t="shared" ca="1" si="114"/>
        <v>0</v>
      </c>
      <c r="Y73" s="440" t="b">
        <f>COUNTIF($AD$30:AD72,AD73)+COUNTIF(AD74:$AD$147,AD73)-COUNTIF(Z73:AC73,AD73)=0</f>
        <v>0</v>
      </c>
      <c r="Z73" s="976" t="s">
        <v>804</v>
      </c>
      <c r="AA73" s="976" t="s">
        <v>804</v>
      </c>
      <c r="AB73" s="976" t="s">
        <v>804</v>
      </c>
      <c r="AC73" s="976" t="s">
        <v>804</v>
      </c>
      <c r="AD73" s="972">
        <f t="shared" si="115"/>
        <v>0</v>
      </c>
      <c r="AE73" s="248" t="b">
        <f t="shared" si="116"/>
        <v>0</v>
      </c>
      <c r="AF73" s="783" t="b">
        <f t="shared" si="54"/>
        <v>0</v>
      </c>
      <c r="AG73" s="446" t="s">
        <v>804</v>
      </c>
      <c r="AH73" s="473">
        <f t="shared" si="117"/>
        <v>0</v>
      </c>
      <c r="AI73" s="446">
        <v>2</v>
      </c>
      <c r="AJ73" s="248">
        <f t="shared" si="118"/>
        <v>2</v>
      </c>
      <c r="AK73" s="249">
        <f t="shared" si="119"/>
        <v>0</v>
      </c>
      <c r="AR73" s="461"/>
      <c r="AS73" s="461"/>
      <c r="AT73" s="461"/>
      <c r="AU73" s="247">
        <f t="shared" ref="AU73:AU107" si="122">ROW()-ROW($AU$7)</f>
        <v>66</v>
      </c>
      <c r="AV73" s="1331" t="str">
        <f>AU73&amp;" "&amp;IF(AX73&lt;&gt;"-",'【様式2】職員名簿 '!B109&amp;"/"&amp;AW73&amp;"/"&amp;AX73,"")</f>
        <v xml:space="preserve">66 </v>
      </c>
      <c r="AW73" s="1331">
        <f>'【様式2】職員名簿 '!F109</f>
        <v>0</v>
      </c>
      <c r="AX73" s="1331" t="str">
        <f>IF('【様式2】職員名簿 '!K109="エラー","-",IF(AND('【様式2】職員名簿 '!C109=$AX$3,'【様式2】職員名簿 '!K109=$AX$4),$AX$3,'【様式2】職員名簿 '!K109))</f>
        <v>-</v>
      </c>
      <c r="AY73" s="783">
        <f>IF($AW73="常勤",$AN$2,IF($AW73="非常勤",'【様式2】職員名簿 '!H109,0))</f>
        <v>0</v>
      </c>
      <c r="AZ73" s="406">
        <f>IF($AX73=AZ$3,COUNTIF($AX$8:$AX73,AZ$3),0)</f>
        <v>0</v>
      </c>
      <c r="BA73" s="788" t="str">
        <f t="shared" si="92"/>
        <v/>
      </c>
      <c r="BB73" s="247">
        <f>IF(OR($AX73=BB$3,$AX73=BB$4),COUNTIF($AX$8:$AX73,BB$3)+COUNTIF($AX$8:$AX73,BB$4),0)</f>
        <v>0</v>
      </c>
      <c r="BC73" s="788" t="str">
        <f t="shared" si="93"/>
        <v/>
      </c>
      <c r="BD73" s="407">
        <f>IF(OR($AX73=$BD$4,$AX73=BD$3),COUNTIFS($AX$8:$AX73,BD$3,$AW$8:$AW73,BD$5)+COUNTIFS($AX$8:$AX73,BD$4,$AW$8:$AW73,BD$5),0)</f>
        <v>0</v>
      </c>
      <c r="BE73" s="788" t="str">
        <f t="shared" si="94"/>
        <v/>
      </c>
      <c r="BF73" s="248">
        <f>IF($AX73=BF$3,COUNTIF($AX$8:$AX73,BF$3),0)</f>
        <v>0</v>
      </c>
      <c r="BG73" s="788" t="str">
        <f t="shared" si="95"/>
        <v/>
      </c>
      <c r="BH73" s="247">
        <f>IF(OR($AX73=BH$3,$AX73=BH$4),COUNTIF($AX$8:$AX73,BH$3)+COUNTIF($AX$8:$AX73,BH$4),0)</f>
        <v>0</v>
      </c>
      <c r="BI73" s="788" t="str">
        <f t="shared" si="96"/>
        <v/>
      </c>
      <c r="BJ73" s="247">
        <f>IF($AX73=BJ$4,COUNTIFS($AW$8:$AW73,BJ$3,$AX$8:$AX73,BJ$4),0)</f>
        <v>0</v>
      </c>
      <c r="BK73" s="788" t="str">
        <f t="shared" si="97"/>
        <v/>
      </c>
      <c r="BL73" s="247">
        <f>IF($AX73=BL$3,COUNTIF($AX$8:$AX73,BL$3),0)</f>
        <v>0</v>
      </c>
      <c r="BM73" s="788" t="str">
        <f t="shared" si="98"/>
        <v/>
      </c>
      <c r="BN73" s="247">
        <f>IF($AX73=BN$3,COUNTIF($AX$8:$AX73,BN$3),0)</f>
        <v>0</v>
      </c>
      <c r="BO73" s="788" t="str">
        <f t="shared" si="99"/>
        <v/>
      </c>
      <c r="BP73" s="247">
        <f>IF($AX73&lt;&gt;BP$3,COUNTIF($AX$8:$AX73,"&lt;&gt;"&amp;BP$3),0)</f>
        <v>0</v>
      </c>
      <c r="BQ73" s="788" t="str">
        <f t="shared" si="100"/>
        <v/>
      </c>
      <c r="BR73" s="247">
        <f>IF($AX73=BR$3,COUNTIF($AX$8:$AX73,BR$3),0)</f>
        <v>0</v>
      </c>
      <c r="BS73" s="788" t="str">
        <f t="shared" si="101"/>
        <v/>
      </c>
      <c r="BT73" s="312"/>
      <c r="BU73" s="312"/>
    </row>
    <row r="74" spans="1:73" ht="15" customHeight="1">
      <c r="A74" s="1298"/>
      <c r="B74" s="2702" t="s">
        <v>40</v>
      </c>
      <c r="C74" s="2703"/>
      <c r="D74" s="2746" t="str">
        <f>IF(W74,T74,"")</f>
        <v/>
      </c>
      <c r="E74" s="2747"/>
      <c r="F74" s="2671"/>
      <c r="G74" s="2671"/>
      <c r="H74" s="2672"/>
      <c r="I74" s="893" t="str">
        <f>IF(OR(NOT(W74),U74=0),"","【"&amp;U74&amp;"h】")</f>
        <v/>
      </c>
      <c r="J74" s="485" t="str">
        <f>IF(OR(F74=0,F74=""),"",IF(W74,IF(X74,IF(OR(Y74,V74=3),IF(AE74,IF(OR(AF74,V74=2,V74=3),"○","要常勤"),"時間無"),"重複"),"名簿無"),"対象外"))</f>
        <v/>
      </c>
      <c r="K74" s="906" t="s">
        <v>750</v>
      </c>
      <c r="L74" s="753" t="str">
        <f t="shared" si="110"/>
        <v/>
      </c>
      <c r="M74" s="756">
        <f t="shared" si="111"/>
        <v>0</v>
      </c>
      <c r="N74" s="754" t="str">
        <f>IF(Q74,"○","×")</f>
        <v>×</v>
      </c>
      <c r="O74" s="755" t="str">
        <f>IF(Q74,IF(S74,"○","×"),"-")</f>
        <v>-</v>
      </c>
      <c r="P74" s="436"/>
      <c r="Q74" s="446" t="b">
        <f>【様式１】総括表・個票!AI459</f>
        <v>0</v>
      </c>
      <c r="R74" s="445" t="b">
        <f>【様式１】総括表・個票!AI461</f>
        <v>0</v>
      </c>
      <c r="S74" s="446" t="b">
        <f>AND(J74="○",O167&gt;=0)</f>
        <v>0</v>
      </c>
      <c r="T74" s="446" t="str">
        <f t="shared" si="88"/>
        <v>保育教諭</v>
      </c>
      <c r="U74" s="407">
        <f t="shared" si="112"/>
        <v>0</v>
      </c>
      <c r="V74" s="446">
        <v>2</v>
      </c>
      <c r="W74" s="446" t="b">
        <f>AND(Q74,R74)</f>
        <v>0</v>
      </c>
      <c r="X74" s="439" t="b">
        <f ca="1">COUNTIF(INDIRECT(T74),F74)&gt;0</f>
        <v>0</v>
      </c>
      <c r="Y74" s="440" t="b">
        <f>COUNTIF($AD$30:AD73,AD74)+COUNTIF(AD75:$AD$147,AD74)-COUNTIF(Z74:AC74,AD74)=0</f>
        <v>0</v>
      </c>
      <c r="Z74" s="976" t="s">
        <v>804</v>
      </c>
      <c r="AA74" s="976" t="s">
        <v>804</v>
      </c>
      <c r="AB74" s="976" t="s">
        <v>804</v>
      </c>
      <c r="AC74" s="976" t="s">
        <v>804</v>
      </c>
      <c r="AD74" s="972">
        <f>IF(V74=3,0,IFERROR(INDEX($AU$8:$AU$106,MATCH($F74,AV$8:AV$106,0),1),0))</f>
        <v>0</v>
      </c>
      <c r="AE74" s="248" t="b">
        <f>U74&gt;0</f>
        <v>0</v>
      </c>
      <c r="AF74" s="783" t="b">
        <f t="shared" si="54"/>
        <v>0</v>
      </c>
      <c r="AG74" s="446" t="s">
        <v>804</v>
      </c>
      <c r="AH74" s="446" t="s">
        <v>804</v>
      </c>
      <c r="AI74" s="446">
        <v>1</v>
      </c>
      <c r="AJ74" s="248">
        <f t="shared" si="118"/>
        <v>2</v>
      </c>
      <c r="AK74" s="249">
        <f>IF(AJ74=1,$AM$3,IF(AJ74=5,$AM$4,IF(AJ74=2,IF(K74="-",U74,K74),IF(AJ74=3,U74,"×"))))</f>
        <v>0</v>
      </c>
      <c r="AR74" s="461"/>
      <c r="AS74" s="461"/>
      <c r="AT74" s="461"/>
      <c r="AU74" s="247">
        <f t="shared" si="122"/>
        <v>67</v>
      </c>
      <c r="AV74" s="1331" t="str">
        <f>AU74&amp;" "&amp;IF(AX74&lt;&gt;"-",'【様式2】職員名簿 '!B110&amp;"/"&amp;AW74&amp;"/"&amp;AX74,"")</f>
        <v xml:space="preserve">67 </v>
      </c>
      <c r="AW74" s="1331">
        <f>'【様式2】職員名簿 '!F110</f>
        <v>0</v>
      </c>
      <c r="AX74" s="1331" t="str">
        <f>IF('【様式2】職員名簿 '!K110="エラー","-",IF(AND('【様式2】職員名簿 '!C110=$AX$3,'【様式2】職員名簿 '!K110=$AX$4),$AX$3,'【様式2】職員名簿 '!K110))</f>
        <v>-</v>
      </c>
      <c r="AY74" s="783">
        <f>IF($AW74="常勤",$AN$2,IF($AW74="非常勤",'【様式2】職員名簿 '!H110,0))</f>
        <v>0</v>
      </c>
      <c r="AZ74" s="406">
        <f>IF($AX74=AZ$3,COUNTIF($AX$8:$AX74,AZ$3),0)</f>
        <v>0</v>
      </c>
      <c r="BA74" s="788" t="str">
        <f t="shared" si="92"/>
        <v/>
      </c>
      <c r="BB74" s="247">
        <f>IF(OR($AX74=BB$3,$AX74=BB$4),COUNTIF($AX$8:$AX74,BB$3)+COUNTIF($AX$8:$AX74,BB$4),0)</f>
        <v>0</v>
      </c>
      <c r="BC74" s="788" t="str">
        <f t="shared" si="93"/>
        <v/>
      </c>
      <c r="BD74" s="407">
        <f>IF(OR($AX74=$BD$4,$AX74=BD$3),COUNTIFS($AX$8:$AX74,BD$3,$AW$8:$AW74,BD$5)+COUNTIFS($AX$8:$AX74,BD$4,$AW$8:$AW74,BD$5),0)</f>
        <v>0</v>
      </c>
      <c r="BE74" s="788" t="str">
        <f t="shared" si="94"/>
        <v/>
      </c>
      <c r="BF74" s="248">
        <f>IF($AX74=BF$3,COUNTIF($AX$8:$AX74,BF$3),0)</f>
        <v>0</v>
      </c>
      <c r="BG74" s="788" t="str">
        <f t="shared" si="95"/>
        <v/>
      </c>
      <c r="BH74" s="247">
        <f>IF(OR($AX74=BH$3,$AX74=BH$4),COUNTIF($AX$8:$AX74,BH$3)+COUNTIF($AX$8:$AX74,BH$4),0)</f>
        <v>0</v>
      </c>
      <c r="BI74" s="788" t="str">
        <f t="shared" si="96"/>
        <v/>
      </c>
      <c r="BJ74" s="247">
        <f>IF($AX74=BJ$4,COUNTIFS($AW$8:$AW74,BJ$3,$AX$8:$AX74,BJ$4),0)</f>
        <v>0</v>
      </c>
      <c r="BK74" s="788" t="str">
        <f t="shared" si="97"/>
        <v/>
      </c>
      <c r="BL74" s="247">
        <f>IF($AX74=BL$3,COUNTIF($AX$8:$AX74,BL$3),0)</f>
        <v>0</v>
      </c>
      <c r="BM74" s="788" t="str">
        <f t="shared" si="98"/>
        <v/>
      </c>
      <c r="BN74" s="247">
        <f>IF($AX74=BN$3,COUNTIF($AX$8:$AX74,BN$3),0)</f>
        <v>0</v>
      </c>
      <c r="BO74" s="788" t="str">
        <f t="shared" si="99"/>
        <v/>
      </c>
      <c r="BP74" s="247">
        <f>IF($AX74&lt;&gt;BP$3,COUNTIF($AX$8:$AX74,"&lt;&gt;"&amp;BP$3),0)</f>
        <v>0</v>
      </c>
      <c r="BQ74" s="788" t="str">
        <f t="shared" si="100"/>
        <v/>
      </c>
      <c r="BR74" s="247">
        <f>IF($AX74=BR$3,COUNTIF($AX$8:$AX74,BR$3),0)</f>
        <v>0</v>
      </c>
      <c r="BS74" s="788" t="str">
        <f t="shared" si="101"/>
        <v/>
      </c>
      <c r="BT74" s="312"/>
      <c r="BU74" s="312"/>
    </row>
    <row r="75" spans="1:73" ht="15" customHeight="1">
      <c r="A75" s="1299"/>
      <c r="B75" s="2698" t="s">
        <v>987</v>
      </c>
      <c r="C75" s="2699"/>
      <c r="D75" s="2731" t="str">
        <f>IF(O75&lt;0,"教諭","-")</f>
        <v>-</v>
      </c>
      <c r="E75" s="2743"/>
      <c r="F75" s="2689" t="str">
        <f>IF(O75&lt;0,"教諭が不足（他の加算も取得不可）","")</f>
        <v/>
      </c>
      <c r="G75" s="2690"/>
      <c r="H75" s="2690"/>
      <c r="I75" s="2690"/>
      <c r="J75" s="2690"/>
      <c r="K75" s="2691"/>
      <c r="L75" s="477" t="s">
        <v>973</v>
      </c>
      <c r="M75" s="982" t="s">
        <v>973</v>
      </c>
      <c r="N75" s="479" t="s">
        <v>973</v>
      </c>
      <c r="O75" s="760">
        <f>IF(ROUNDUP(O167+SUM(L177:L180)+IF(O54="○",0,1),1)&gt;=0,0,ROUNDUP(O167+SUM(L177:L180)+IF(O54="○",0,1),1))</f>
        <v>0</v>
      </c>
      <c r="P75" s="761"/>
      <c r="Q75" s="446" t="s">
        <v>973</v>
      </c>
      <c r="R75" s="445" t="s">
        <v>973</v>
      </c>
      <c r="S75" s="446" t="s">
        <v>973</v>
      </c>
      <c r="T75" s="446" t="s">
        <v>973</v>
      </c>
      <c r="U75" s="407" t="s">
        <v>973</v>
      </c>
      <c r="V75" s="446" t="s">
        <v>804</v>
      </c>
      <c r="W75" s="446" t="s">
        <v>804</v>
      </c>
      <c r="X75" s="439" t="s">
        <v>804</v>
      </c>
      <c r="Y75" s="440" t="s">
        <v>804</v>
      </c>
      <c r="Z75" s="976" t="s">
        <v>804</v>
      </c>
      <c r="AA75" s="976" t="s">
        <v>804</v>
      </c>
      <c r="AB75" s="976" t="s">
        <v>804</v>
      </c>
      <c r="AC75" s="976" t="s">
        <v>804</v>
      </c>
      <c r="AD75" s="454" t="s">
        <v>973</v>
      </c>
      <c r="AE75" s="248" t="b">
        <f t="shared" si="116"/>
        <v>1</v>
      </c>
      <c r="AF75" s="783" t="b">
        <f t="shared" si="54"/>
        <v>0</v>
      </c>
      <c r="AG75" s="446" t="s">
        <v>804</v>
      </c>
      <c r="AH75" s="446" t="s">
        <v>804</v>
      </c>
      <c r="AI75" s="446" t="s">
        <v>804</v>
      </c>
      <c r="AJ75" s="248" t="s">
        <v>804</v>
      </c>
      <c r="AK75" s="249" t="s">
        <v>804</v>
      </c>
      <c r="AR75" s="461"/>
      <c r="AS75" s="461"/>
      <c r="AT75" s="461"/>
      <c r="AU75" s="247">
        <f t="shared" si="122"/>
        <v>68</v>
      </c>
      <c r="AV75" s="1331" t="str">
        <f>AU75&amp;" "&amp;IF(AX75&lt;&gt;"-",'【様式2】職員名簿 '!B111&amp;"/"&amp;AW75&amp;"/"&amp;AX75,"")</f>
        <v xml:space="preserve">68 </v>
      </c>
      <c r="AW75" s="1331">
        <f>'【様式2】職員名簿 '!F111</f>
        <v>0</v>
      </c>
      <c r="AX75" s="1331" t="str">
        <f>IF('【様式2】職員名簿 '!K111="エラー","-",IF(AND('【様式2】職員名簿 '!C111=$AX$3,'【様式2】職員名簿 '!K111=$AX$4),$AX$3,'【様式2】職員名簿 '!K111))</f>
        <v>-</v>
      </c>
      <c r="AY75" s="783">
        <f>IF($AW75="常勤",$AN$2,IF($AW75="非常勤",'【様式2】職員名簿 '!H111,0))</f>
        <v>0</v>
      </c>
      <c r="AZ75" s="406">
        <f>IF($AX75=AZ$3,COUNTIF($AX$8:$AX75,AZ$3),0)</f>
        <v>0</v>
      </c>
      <c r="BA75" s="788" t="str">
        <f t="shared" si="92"/>
        <v/>
      </c>
      <c r="BB75" s="247">
        <f>IF(OR($AX75=BB$3,$AX75=BB$4),COUNTIF($AX$8:$AX75,BB$3)+COUNTIF($AX$8:$AX75,BB$4),0)</f>
        <v>0</v>
      </c>
      <c r="BC75" s="788" t="str">
        <f t="shared" si="93"/>
        <v/>
      </c>
      <c r="BD75" s="407">
        <f>IF(OR($AX75=$BD$4,$AX75=BD$3),COUNTIFS($AX$8:$AX75,BD$3,$AW$8:$AW75,BD$5)+COUNTIFS($AX$8:$AX75,BD$4,$AW$8:$AW75,BD$5),0)</f>
        <v>0</v>
      </c>
      <c r="BE75" s="788" t="str">
        <f t="shared" si="94"/>
        <v/>
      </c>
      <c r="BF75" s="248">
        <f>IF($AX75=BF$3,COUNTIF($AX$8:$AX75,BF$3),0)</f>
        <v>0</v>
      </c>
      <c r="BG75" s="788" t="str">
        <f t="shared" si="95"/>
        <v/>
      </c>
      <c r="BH75" s="247">
        <f>IF(OR($AX75=BH$3,$AX75=BH$4),COUNTIF($AX$8:$AX75,BH$3)+COUNTIF($AX$8:$AX75,BH$4),0)</f>
        <v>0</v>
      </c>
      <c r="BI75" s="788" t="str">
        <f t="shared" si="96"/>
        <v/>
      </c>
      <c r="BJ75" s="247">
        <f>IF($AX75=BJ$4,COUNTIFS($AW$8:$AW75,BJ$3,$AX$8:$AX75,BJ$4),0)</f>
        <v>0</v>
      </c>
      <c r="BK75" s="788" t="str">
        <f t="shared" si="97"/>
        <v/>
      </c>
      <c r="BL75" s="247">
        <f>IF($AX75=BL$3,COUNTIF($AX$8:$AX75,BL$3),0)</f>
        <v>0</v>
      </c>
      <c r="BM75" s="788" t="str">
        <f t="shared" si="98"/>
        <v/>
      </c>
      <c r="BN75" s="247">
        <f>IF($AX75=BN$3,COUNTIF($AX$8:$AX75,BN$3),0)</f>
        <v>0</v>
      </c>
      <c r="BO75" s="788" t="str">
        <f t="shared" si="99"/>
        <v/>
      </c>
      <c r="BP75" s="247">
        <f>IF($AX75&lt;&gt;BP$3,COUNTIF($AX$8:$AX75,"&lt;&gt;"&amp;BP$3),0)</f>
        <v>0</v>
      </c>
      <c r="BQ75" s="788" t="str">
        <f t="shared" si="100"/>
        <v/>
      </c>
      <c r="BR75" s="247">
        <f>IF($AX75=BR$3,COUNTIF($AX$8:$AX75,BR$3),0)</f>
        <v>0</v>
      </c>
      <c r="BS75" s="788" t="str">
        <f t="shared" si="101"/>
        <v/>
      </c>
      <c r="BT75" s="312"/>
      <c r="BU75" s="312"/>
    </row>
    <row r="76" spans="1:73" ht="15" customHeight="1">
      <c r="A76" s="491" t="s">
        <v>1643</v>
      </c>
      <c r="B76" s="2685" t="str">
        <f>"栄養管理加算【"&amp;IF(R76=1,"配置",IF(R76=2,"兼務",IF(R76=3,"嘱託","-")))&amp;"】"</f>
        <v>栄養管理加算【-】</v>
      </c>
      <c r="C76" s="1609"/>
      <c r="D76" s="1607" t="str">
        <f t="shared" si="107"/>
        <v/>
      </c>
      <c r="E76" s="2686"/>
      <c r="F76" s="2744"/>
      <c r="G76" s="2744"/>
      <c r="H76" s="2745"/>
      <c r="I76" s="895" t="str">
        <f t="shared" ref="I76:I86" si="123">IF(OR(NOT(W76),U76=0),"","【"&amp;U76&amp;"h】")</f>
        <v/>
      </c>
      <c r="J76" s="907" t="str">
        <f t="shared" ref="J76:J86" si="124">IF(OR(F76=0,F76=""),"",IF(W76,IF(X76,IF(OR(Y76,V76=3),IF(AE76,IF(OR(AF76,V76=2,V76=3),"○","要常勤"),"時間無"),"重複"),"名簿無"),"対象外"))</f>
        <v/>
      </c>
      <c r="K76" s="911" t="s">
        <v>750</v>
      </c>
      <c r="L76" s="487" t="str">
        <f>IF(AJ76=1,"調整①→",IF(AJ76=5,"調整②→",IF(AJ76=2,"",IF(AJ76=3,"全計上→","エラー"))))</f>
        <v/>
      </c>
      <c r="M76" s="488">
        <f>IF(OR(AND(J76&lt;&gt;"",J76&lt;&gt;"○"),AJ76=4),"×",IF(J76="",0,AK76/$AN$2))</f>
        <v>0</v>
      </c>
      <c r="N76" s="995" t="str">
        <f>IF(Q76,"○","×")</f>
        <v>×</v>
      </c>
      <c r="O76" s="729" t="str">
        <f>IF(Q76,IF(S76,"○","×"),"-")</f>
        <v>-</v>
      </c>
      <c r="P76" s="136"/>
      <c r="Q76" s="975" t="b">
        <f>AND(【様式１】総括表・個票!AI480,OR(R76=1,R76=2))</f>
        <v>0</v>
      </c>
      <c r="R76" s="998">
        <f>IF(【様式１】総括表・個票!AI485,1,IF(【様式１】総括表・個票!AI486,2,IF(【様式１】総括表・個票!AI489,3,0)))</f>
        <v>0</v>
      </c>
      <c r="S76" s="998" t="b">
        <f>AND($J76="○",$O187&gt;=0)</f>
        <v>0</v>
      </c>
      <c r="T76" s="975" t="str">
        <f>$BG$6</f>
        <v>栄養士等</v>
      </c>
      <c r="U76" s="489">
        <f>IFERROR(VLOOKUP($F76,$AV$8:$AY$108,4,FALSE),0)</f>
        <v>0</v>
      </c>
      <c r="V76" s="1138">
        <f>IF(OR(R76=2,R76=3),3,2)</f>
        <v>2</v>
      </c>
      <c r="W76" s="975" t="b">
        <f>AND(Q76,OR(R76=1,R76=2))</f>
        <v>0</v>
      </c>
      <c r="X76" s="439" t="b">
        <f t="shared" ref="X76:X86" ca="1" si="125">COUNTIF(INDIRECT(T76),F76)&gt;0</f>
        <v>0</v>
      </c>
      <c r="Y76" s="440" t="b">
        <f>COUNTIF($AD$30:AD75,AD76)+COUNTIF(AD77:$AD$147,AD76)-COUNTIF(Z76:AC76,AD76)=0</f>
        <v>0</v>
      </c>
      <c r="Z76" s="976" t="s">
        <v>804</v>
      </c>
      <c r="AA76" s="976" t="s">
        <v>804</v>
      </c>
      <c r="AB76" s="976" t="s">
        <v>804</v>
      </c>
      <c r="AC76" s="976" t="s">
        <v>804</v>
      </c>
      <c r="AD76" s="972">
        <f>IF(V76=3,0,IFERROR(INDEX($AU$8:$AU$108,MATCH($F76,AV$8:AV$108,0),1),0))</f>
        <v>0</v>
      </c>
      <c r="AE76" s="142" t="b">
        <f t="shared" si="116"/>
        <v>0</v>
      </c>
      <c r="AF76" s="490" t="b">
        <f t="shared" si="54"/>
        <v>0</v>
      </c>
      <c r="AG76" s="975" t="s">
        <v>804</v>
      </c>
      <c r="AH76" s="975" t="s">
        <v>804</v>
      </c>
      <c r="AI76" s="446">
        <v>2</v>
      </c>
      <c r="AJ76" s="248">
        <f>IF(AND($W76,$J76="○"),IF($K76="-",IF($U76&lt;IF($AI76=5,$AM$4,$AM$3),$AI76,2),IF($K76=0,IF($U76&lt;IF($AI76=5,$AM$4,$AM$3),IF(OR($AI76=1,$AI76=5),$AI76,3),3),IF(K76&lt;IF($AI76=5,$AM$4,$AM$3),$AI76,IF($K76&gt;$U76,4,2)))),2)</f>
        <v>2</v>
      </c>
      <c r="AK76" s="249">
        <f t="shared" si="119"/>
        <v>0</v>
      </c>
      <c r="AR76" s="461"/>
      <c r="AS76" s="461"/>
      <c r="AT76" s="461"/>
      <c r="AU76" s="247">
        <f t="shared" si="122"/>
        <v>69</v>
      </c>
      <c r="AV76" s="1331" t="str">
        <f>AU76&amp;" "&amp;IF(AX76&lt;&gt;"-",'【様式2】職員名簿 '!B112&amp;"/"&amp;AW76&amp;"/"&amp;AX76,"")</f>
        <v xml:space="preserve">69 </v>
      </c>
      <c r="AW76" s="1331">
        <f>'【様式2】職員名簿 '!F112</f>
        <v>0</v>
      </c>
      <c r="AX76" s="1331" t="str">
        <f>IF('【様式2】職員名簿 '!K112="エラー","-",IF(AND('【様式2】職員名簿 '!C112=$AX$3,'【様式2】職員名簿 '!K112=$AX$4),$AX$3,'【様式2】職員名簿 '!K112))</f>
        <v>-</v>
      </c>
      <c r="AY76" s="783">
        <f>IF($AW76="常勤",$AN$2,IF($AW76="非常勤",'【様式2】職員名簿 '!H112,0))</f>
        <v>0</v>
      </c>
      <c r="AZ76" s="406">
        <f>IF($AX76=AZ$3,COUNTIF($AX$8:$AX76,AZ$3),0)</f>
        <v>0</v>
      </c>
      <c r="BA76" s="788" t="str">
        <f t="shared" si="92"/>
        <v/>
      </c>
      <c r="BB76" s="247">
        <f>IF(OR($AX76=BB$3,$AX76=BB$4),COUNTIF($AX$8:$AX76,BB$3)+COUNTIF($AX$8:$AX76,BB$4),0)</f>
        <v>0</v>
      </c>
      <c r="BC76" s="788" t="str">
        <f t="shared" si="93"/>
        <v/>
      </c>
      <c r="BD76" s="407">
        <f>IF(OR($AX76=$BD$4,$AX76=BD$3),COUNTIFS($AX$8:$AX76,BD$3,$AW$8:$AW76,BD$5)+COUNTIFS($AX$8:$AX76,BD$4,$AW$8:$AW76,BD$5),0)</f>
        <v>0</v>
      </c>
      <c r="BE76" s="788" t="str">
        <f t="shared" si="94"/>
        <v/>
      </c>
      <c r="BF76" s="248">
        <f>IF($AX76=BF$3,COUNTIF($AX$8:$AX76,BF$3),0)</f>
        <v>0</v>
      </c>
      <c r="BG76" s="788" t="str">
        <f t="shared" si="95"/>
        <v/>
      </c>
      <c r="BH76" s="247">
        <f>IF(OR($AX76=BH$3,$AX76=BH$4),COUNTIF($AX$8:$AX76,BH$3)+COUNTIF($AX$8:$AX76,BH$4),0)</f>
        <v>0</v>
      </c>
      <c r="BI76" s="788" t="str">
        <f t="shared" si="96"/>
        <v/>
      </c>
      <c r="BJ76" s="247">
        <f>IF($AX76=BJ$4,COUNTIFS($AW$8:$AW76,BJ$3,$AX$8:$AX76,BJ$4),0)</f>
        <v>0</v>
      </c>
      <c r="BK76" s="788" t="str">
        <f t="shared" si="97"/>
        <v/>
      </c>
      <c r="BL76" s="247">
        <f>IF($AX76=BL$3,COUNTIF($AX$8:$AX76,BL$3),0)</f>
        <v>0</v>
      </c>
      <c r="BM76" s="788" t="str">
        <f t="shared" si="98"/>
        <v/>
      </c>
      <c r="BN76" s="247">
        <f>IF($AX76=BN$3,COUNTIF($AX$8:$AX76,BN$3),0)</f>
        <v>0</v>
      </c>
      <c r="BO76" s="788" t="str">
        <f t="shared" si="99"/>
        <v/>
      </c>
      <c r="BP76" s="247">
        <f>IF($AX76&lt;&gt;BP$3,COUNTIF($AX$8:$AX76,"&lt;&gt;"&amp;BP$3),0)</f>
        <v>0</v>
      </c>
      <c r="BQ76" s="788" t="str">
        <f t="shared" si="100"/>
        <v/>
      </c>
      <c r="BR76" s="247">
        <f>IF($AX76=BR$3,COUNTIF($AX$8:$AX76,BR$3),0)</f>
        <v>0</v>
      </c>
      <c r="BS76" s="788" t="str">
        <f t="shared" si="101"/>
        <v/>
      </c>
      <c r="BT76" s="312"/>
      <c r="BU76" s="312"/>
    </row>
    <row r="77" spans="1:73" ht="15" customHeight="1">
      <c r="A77" s="2807" t="s">
        <v>157</v>
      </c>
      <c r="B77" s="3009" t="str">
        <f>"給食実施加算【"&amp;IF(R77=1,"調理‐雇用",IF(R77=2,"調理‐委託",IF(R77=3,"搬入","-")))&amp;"】"</f>
        <v>給食実施加算【-】</v>
      </c>
      <c r="C77" s="1609"/>
      <c r="D77" s="3011" t="s">
        <v>157</v>
      </c>
      <c r="E77" s="985" t="str">
        <f>IF(W77,T77,"")</f>
        <v/>
      </c>
      <c r="F77" s="2692" t="str">
        <f>IF(AND(Q77,R77=1),"基本配置を満たすこと","")</f>
        <v/>
      </c>
      <c r="G77" s="2693"/>
      <c r="H77" s="2693"/>
      <c r="I77" s="2693"/>
      <c r="J77" s="2693"/>
      <c r="K77" s="2694"/>
      <c r="L77" s="770" t="s">
        <v>1031</v>
      </c>
      <c r="M77" s="762" t="s">
        <v>1030</v>
      </c>
      <c r="N77" s="2765" t="str">
        <f>IF(Q77,"○","×")</f>
        <v>×</v>
      </c>
      <c r="O77" s="2762" t="str">
        <f>IF(Q77,IF(S77,"○","×"),"-")</f>
        <v>-</v>
      </c>
      <c r="P77" s="761"/>
      <c r="Q77" s="2748" t="b">
        <f>【様式１】総括表・個票!AI185</f>
        <v>0</v>
      </c>
      <c r="R77" s="2757">
        <f>IF(【様式１】総括表・個票!AI192,1,IF(【様式１】総括表・個票!AI193,2,IF(【様式１】総括表・個票!AI196,3,0)))</f>
        <v>0</v>
      </c>
      <c r="S77" s="2748" t="b">
        <f>AND(OR(AND(R77=1,W77,O38="○"),AND(R77=2,W78,J78="○"),R77=3),O187&gt;=0)</f>
        <v>0</v>
      </c>
      <c r="T77" s="446" t="str">
        <f>$BI$6</f>
        <v>調理員</v>
      </c>
      <c r="U77" s="407">
        <f>IFERROR(VLOOKUP($F77,$AV$8:$AY$106,4,FALSE),0)</f>
        <v>0</v>
      </c>
      <c r="V77" s="446" t="s">
        <v>1027</v>
      </c>
      <c r="W77" s="446" t="b">
        <f>AND(Q77,R77=1)</f>
        <v>0</v>
      </c>
      <c r="X77" s="439" t="s">
        <v>1027</v>
      </c>
      <c r="Y77" s="440" t="s">
        <v>1027</v>
      </c>
      <c r="Z77" s="976" t="s">
        <v>804</v>
      </c>
      <c r="AA77" s="976" t="s">
        <v>804</v>
      </c>
      <c r="AB77" s="976" t="s">
        <v>804</v>
      </c>
      <c r="AC77" s="976" t="s">
        <v>804</v>
      </c>
      <c r="AD77" s="972" t="s">
        <v>1028</v>
      </c>
      <c r="AE77" s="248" t="s">
        <v>1027</v>
      </c>
      <c r="AF77" s="783" t="s">
        <v>1027</v>
      </c>
      <c r="AG77" s="446" t="s">
        <v>804</v>
      </c>
      <c r="AH77" s="446" t="s">
        <v>804</v>
      </c>
      <c r="AI77" s="446" t="s">
        <v>1027</v>
      </c>
      <c r="AJ77" s="248" t="s">
        <v>1029</v>
      </c>
      <c r="AK77" s="249" t="s">
        <v>1027</v>
      </c>
      <c r="AR77" s="461"/>
      <c r="AS77" s="461"/>
      <c r="AT77" s="461"/>
      <c r="AU77" s="247">
        <f t="shared" si="122"/>
        <v>70</v>
      </c>
      <c r="AV77" s="1331" t="str">
        <f>AU77&amp;" "&amp;IF(AX77&lt;&gt;"-",'【様式2】職員名簿 '!B113&amp;"/"&amp;AW77&amp;"/"&amp;AX77,"")</f>
        <v xml:space="preserve">70 </v>
      </c>
      <c r="AW77" s="1331">
        <f>'【様式2】職員名簿 '!F113</f>
        <v>0</v>
      </c>
      <c r="AX77" s="1331" t="str">
        <f>IF('【様式2】職員名簿 '!K113="エラー","-",IF(AND('【様式2】職員名簿 '!C113=$AX$3,'【様式2】職員名簿 '!K113=$AX$4),$AX$3,'【様式2】職員名簿 '!K113))</f>
        <v>-</v>
      </c>
      <c r="AY77" s="783">
        <f>IF($AW77="常勤",$AN$2,IF($AW77="非常勤",'【様式2】職員名簿 '!H113,0))</f>
        <v>0</v>
      </c>
      <c r="AZ77" s="406">
        <f>IF($AX77=AZ$3,COUNTIF($AX$8:$AX77,AZ$3),0)</f>
        <v>0</v>
      </c>
      <c r="BA77" s="788" t="str">
        <f t="shared" si="92"/>
        <v/>
      </c>
      <c r="BB77" s="247">
        <f>IF(OR($AX77=BB$3,$AX77=BB$4),COUNTIF($AX$8:$AX77,BB$3)+COUNTIF($AX$8:$AX77,BB$4),0)</f>
        <v>0</v>
      </c>
      <c r="BC77" s="788" t="str">
        <f t="shared" si="93"/>
        <v/>
      </c>
      <c r="BD77" s="407">
        <f>IF(OR($AX77=$BD$4,$AX77=BD$3),COUNTIFS($AX$8:$AX77,BD$3,$AW$8:$AW77,BD$5)+COUNTIFS($AX$8:$AX77,BD$4,$AW$8:$AW77,BD$5),0)</f>
        <v>0</v>
      </c>
      <c r="BE77" s="788" t="str">
        <f t="shared" si="94"/>
        <v/>
      </c>
      <c r="BF77" s="248">
        <f>IF($AX77=BF$3,COUNTIF($AX$8:$AX77,BF$3),0)</f>
        <v>0</v>
      </c>
      <c r="BG77" s="788" t="str">
        <f t="shared" si="95"/>
        <v/>
      </c>
      <c r="BH77" s="247">
        <f>IF(OR($AX77=BH$3,$AX77=BH$4),COUNTIF($AX$8:$AX77,BH$3)+COUNTIF($AX$8:$AX77,BH$4),0)</f>
        <v>0</v>
      </c>
      <c r="BI77" s="788" t="str">
        <f t="shared" si="96"/>
        <v/>
      </c>
      <c r="BJ77" s="247">
        <f>IF($AX77=BJ$4,COUNTIFS($AW$8:$AW77,BJ$3,$AX$8:$AX77,BJ$4),0)</f>
        <v>0</v>
      </c>
      <c r="BK77" s="788" t="str">
        <f t="shared" si="97"/>
        <v/>
      </c>
      <c r="BL77" s="247">
        <f>IF($AX77=BL$3,COUNTIF($AX$8:$AX77,BL$3),0)</f>
        <v>0</v>
      </c>
      <c r="BM77" s="788" t="str">
        <f t="shared" si="98"/>
        <v/>
      </c>
      <c r="BN77" s="247">
        <f>IF($AX77=BN$3,COUNTIF($AX$8:$AX77,BN$3),0)</f>
        <v>0</v>
      </c>
      <c r="BO77" s="788" t="str">
        <f t="shared" si="99"/>
        <v/>
      </c>
      <c r="BP77" s="247">
        <f>IF($AX77&lt;&gt;BP$3,COUNTIF($AX$8:$AX77,"&lt;&gt;"&amp;BP$3),0)</f>
        <v>0</v>
      </c>
      <c r="BQ77" s="788" t="str">
        <f t="shared" si="100"/>
        <v/>
      </c>
      <c r="BR77" s="247">
        <f>IF($AX77=BR$3,COUNTIF($AX$8:$AX77,BR$3),0)</f>
        <v>0</v>
      </c>
      <c r="BS77" s="788" t="str">
        <f t="shared" si="101"/>
        <v/>
      </c>
      <c r="BT77" s="312"/>
      <c r="BU77" s="312"/>
    </row>
    <row r="78" spans="1:73" ht="15" customHeight="1">
      <c r="A78" s="2657"/>
      <c r="B78" s="1581"/>
      <c r="C78" s="1582"/>
      <c r="D78" s="3012"/>
      <c r="E78" s="983" t="str">
        <f>IF(W78,T78,"")</f>
        <v/>
      </c>
      <c r="F78" s="2750" t="str">
        <f>IF(W78,BU9,"")</f>
        <v/>
      </c>
      <c r="G78" s="2751"/>
      <c r="H78" s="2751"/>
      <c r="I78" s="896" t="str">
        <f>IF(OR(NOT(W78),U78=0),"","【"&amp;U78&amp;"h】")</f>
        <v/>
      </c>
      <c r="J78" s="798" t="str">
        <f t="shared" si="124"/>
        <v/>
      </c>
      <c r="K78" s="912" t="s">
        <v>1025</v>
      </c>
      <c r="L78" s="799" t="str">
        <f t="shared" ref="L78" si="126">IF(AJ78=1,"調整①→",IF(AJ78=5,"調整②→",IF(AJ78=2,"",IF(AJ78=3,"全計上→","エラー"))))</f>
        <v/>
      </c>
      <c r="M78" s="800" t="s">
        <v>1025</v>
      </c>
      <c r="N78" s="2766" t="str">
        <f t="shared" ref="N78" si="127">IF(Q78,"○","×")</f>
        <v>×</v>
      </c>
      <c r="O78" s="2779" t="str">
        <f t="shared" ref="O78" si="128">IF(Q78,IF(S78,"○","×"),"-")</f>
        <v>-</v>
      </c>
      <c r="P78" s="761"/>
      <c r="Q78" s="2749"/>
      <c r="R78" s="2759"/>
      <c r="S78" s="2749"/>
      <c r="T78" s="446" t="s">
        <v>1026</v>
      </c>
      <c r="U78" s="797">
        <f>BV9</f>
        <v>0</v>
      </c>
      <c r="V78" s="469">
        <v>3</v>
      </c>
      <c r="W78" s="469" t="b">
        <f>AND(Q77,R77=2)</f>
        <v>0</v>
      </c>
      <c r="X78" s="439" t="b">
        <f t="shared" ca="1" si="125"/>
        <v>0</v>
      </c>
      <c r="Y78" s="440" t="b">
        <f>COUNTIF($AD$30:AD77,AD78)+COUNTIF(AD79:$AD$147,AD78)-COUNTIF(Z78:AC78,AD78)=0</f>
        <v>0</v>
      </c>
      <c r="Z78" s="976" t="s">
        <v>804</v>
      </c>
      <c r="AA78" s="976" t="s">
        <v>804</v>
      </c>
      <c r="AB78" s="976" t="s">
        <v>804</v>
      </c>
      <c r="AC78" s="976" t="s">
        <v>804</v>
      </c>
      <c r="AD78" s="454">
        <f t="shared" ref="AD78" si="129">IF(V78=3,0,IFERROR(INDEX($AU$8:$AU$106,MATCH($F78,AV$8:AV$106,0),1),0))</f>
        <v>0</v>
      </c>
      <c r="AE78" s="455" t="b">
        <f t="shared" si="116"/>
        <v>0</v>
      </c>
      <c r="AF78" s="783" t="b">
        <f t="shared" ref="AF78" si="130">IFERROR(VLOOKUP($F78,$AV$8:$AY$106,2,FALSE),"")="常勤"</f>
        <v>0</v>
      </c>
      <c r="AG78" s="446" t="s">
        <v>804</v>
      </c>
      <c r="AH78" s="446" t="s">
        <v>804</v>
      </c>
      <c r="AI78" s="446">
        <v>1</v>
      </c>
      <c r="AJ78" s="248">
        <f t="shared" ref="AJ78" si="131">IF(AND($W78,$J78="○"),IF($K78="-",IF($U78&lt;IF($AI78=5,$AM$4,$AM$3),$AI78,2),IF($K78=0,IF($U78&lt;IF($AI78=5,$AM$4,$AM$3),IF(OR($AI78=1,$AI78=5),$AI78,3),3),IF(K78&lt;IF($AI78=5,$AM$4,$AM$3),$AI78,IF($K78&gt;$U78,4,2)))),2)</f>
        <v>2</v>
      </c>
      <c r="AK78" s="249">
        <f t="shared" si="119"/>
        <v>0</v>
      </c>
      <c r="AR78" s="461"/>
      <c r="AS78" s="461"/>
      <c r="AT78" s="461"/>
      <c r="AU78" s="247">
        <f t="shared" si="122"/>
        <v>71</v>
      </c>
      <c r="AV78" s="1331" t="str">
        <f>AU78&amp;" "&amp;IF(AX78&lt;&gt;"-",'【様式2】職員名簿 '!B114&amp;"/"&amp;AW78&amp;"/"&amp;AX78,"")</f>
        <v xml:space="preserve">71 </v>
      </c>
      <c r="AW78" s="1331">
        <f>'【様式2】職員名簿 '!F114</f>
        <v>0</v>
      </c>
      <c r="AX78" s="1331" t="str">
        <f>IF('【様式2】職員名簿 '!K114="エラー","-",IF(AND('【様式2】職員名簿 '!C114=$AX$3,'【様式2】職員名簿 '!K114=$AX$4),$AX$3,'【様式2】職員名簿 '!K114))</f>
        <v>-</v>
      </c>
      <c r="AY78" s="783">
        <f>IF($AW78="常勤",$AN$2,IF($AW78="非常勤",'【様式2】職員名簿 '!H114,0))</f>
        <v>0</v>
      </c>
      <c r="AZ78" s="406">
        <f>IF($AX78=AZ$3,COUNTIF($AX$8:$AX78,AZ$3),0)</f>
        <v>0</v>
      </c>
      <c r="BA78" s="788" t="str">
        <f t="shared" si="92"/>
        <v/>
      </c>
      <c r="BB78" s="247">
        <f>IF(OR($AX78=BB$3,$AX78=BB$4),COUNTIF($AX$8:$AX78,BB$3)+COUNTIF($AX$8:$AX78,BB$4),0)</f>
        <v>0</v>
      </c>
      <c r="BC78" s="788" t="str">
        <f t="shared" si="93"/>
        <v/>
      </c>
      <c r="BD78" s="407">
        <f>IF(OR($AX78=$BD$4,$AX78=BD$3),COUNTIFS($AX$8:$AX78,BD$3,$AW$8:$AW78,BD$5)+COUNTIFS($AX$8:$AX78,BD$4,$AW$8:$AW78,BD$5),0)</f>
        <v>0</v>
      </c>
      <c r="BE78" s="788" t="str">
        <f t="shared" si="94"/>
        <v/>
      </c>
      <c r="BF78" s="248">
        <f>IF($AX78=BF$3,COUNTIF($AX$8:$AX78,BF$3),0)</f>
        <v>0</v>
      </c>
      <c r="BG78" s="788" t="str">
        <f t="shared" si="95"/>
        <v/>
      </c>
      <c r="BH78" s="247">
        <f>IF(OR($AX78=BH$3,$AX78=BH$4),COUNTIF($AX$8:$AX78,BH$3)+COUNTIF($AX$8:$AX78,BH$4),0)</f>
        <v>0</v>
      </c>
      <c r="BI78" s="788" t="str">
        <f t="shared" si="96"/>
        <v/>
      </c>
      <c r="BJ78" s="247">
        <f>IF($AX78=BJ$4,COUNTIFS($AW$8:$AW78,BJ$3,$AX$8:$AX78,BJ$4),0)</f>
        <v>0</v>
      </c>
      <c r="BK78" s="788" t="str">
        <f t="shared" si="97"/>
        <v/>
      </c>
      <c r="BL78" s="247">
        <f>IF($AX78=BL$3,COUNTIF($AX$8:$AX78,BL$3),0)</f>
        <v>0</v>
      </c>
      <c r="BM78" s="788" t="str">
        <f t="shared" si="98"/>
        <v/>
      </c>
      <c r="BN78" s="247">
        <f>IF($AX78=BN$3,COUNTIF($AX$8:$AX78,BN$3),0)</f>
        <v>0</v>
      </c>
      <c r="BO78" s="788" t="str">
        <f t="shared" si="99"/>
        <v/>
      </c>
      <c r="BP78" s="247">
        <f>IF($AX78&lt;&gt;BP$3,COUNTIF($AX$8:$AX78,"&lt;&gt;"&amp;BP$3),0)</f>
        <v>0</v>
      </c>
      <c r="BQ78" s="788" t="str">
        <f t="shared" si="100"/>
        <v/>
      </c>
      <c r="BR78" s="247">
        <f>IF($AX78=BR$3,COUNTIF($AX$8:$AX78,BR$3),0)</f>
        <v>0</v>
      </c>
      <c r="BS78" s="788" t="str">
        <f t="shared" si="101"/>
        <v/>
      </c>
      <c r="BT78" s="312"/>
      <c r="BU78" s="312"/>
    </row>
    <row r="79" spans="1:73" ht="15" customHeight="1">
      <c r="A79" s="2807" t="s">
        <v>729</v>
      </c>
      <c r="B79" s="3009" t="s">
        <v>840</v>
      </c>
      <c r="C79" s="1609"/>
      <c r="D79" s="1607" t="str">
        <f>IF(W79,T79,"")</f>
        <v/>
      </c>
      <c r="E79" s="2686"/>
      <c r="F79" s="2744"/>
      <c r="G79" s="2744"/>
      <c r="H79" s="2745"/>
      <c r="I79" s="895" t="str">
        <f t="shared" si="123"/>
        <v/>
      </c>
      <c r="J79" s="907" t="str">
        <f t="shared" si="124"/>
        <v/>
      </c>
      <c r="K79" s="913" t="s">
        <v>988</v>
      </c>
      <c r="L79" s="770" t="str">
        <f t="shared" ref="L79:L80" si="132">IF(AJ79=1,"調整①→",IF(AJ79=5,"調整②→",IF(AJ79=2,"",IF(AJ79=3,"全計上→","エラー"))))</f>
        <v/>
      </c>
      <c r="M79" s="762">
        <f t="shared" ref="M79:M86" si="133">IF(OR(AND(J79&lt;&gt;"",J79&lt;&gt;"○"),AJ79=4),"×",IF(J79="",0,AK79/$AN$2))</f>
        <v>0</v>
      </c>
      <c r="N79" s="995" t="str">
        <f>IF(Q79,"○","×")</f>
        <v>×</v>
      </c>
      <c r="O79" s="996" t="str">
        <f t="shared" ref="O79:O80" si="134">IF(Q79,IF(S79,"○","×"),"-")</f>
        <v>-</v>
      </c>
      <c r="P79" s="136"/>
      <c r="Q79" s="446" t="b">
        <f>【様式１】総括表・個票!AI445</f>
        <v>0</v>
      </c>
      <c r="R79" s="445" t="b">
        <f>【様式１】総括表・個票!AI447</f>
        <v>0</v>
      </c>
      <c r="S79" s="446" t="b">
        <f>AND(J79="○",$O$189&gt;=0)</f>
        <v>0</v>
      </c>
      <c r="T79" s="446" t="str">
        <f t="shared" ref="T79:T80" si="135">$BM$6</f>
        <v>事務員</v>
      </c>
      <c r="U79" s="407">
        <f t="shared" ref="U79:U86" si="136">IFERROR(VLOOKUP($F79,$AV$8:$AY$108,4,FALSE),0)</f>
        <v>0</v>
      </c>
      <c r="V79" s="446">
        <v>2</v>
      </c>
      <c r="W79" s="446" t="b">
        <f>AND(Q79,R79)</f>
        <v>0</v>
      </c>
      <c r="X79" s="439" t="b">
        <f t="shared" ca="1" si="125"/>
        <v>0</v>
      </c>
      <c r="Y79" s="440" t="b">
        <f>COUNTIF($AD$30:AD78,AD79)+COUNTIF(AD80:$AD$147,AD79)-COUNTIF(Z79:AC79,AD79)=0</f>
        <v>0</v>
      </c>
      <c r="Z79" s="976" t="s">
        <v>804</v>
      </c>
      <c r="AA79" s="976" t="s">
        <v>804</v>
      </c>
      <c r="AB79" s="976" t="s">
        <v>804</v>
      </c>
      <c r="AC79" s="976" t="s">
        <v>804</v>
      </c>
      <c r="AD79" s="972">
        <f>IF(V79=3,0,IFERROR(INDEX($AU$8:$AU$106,MATCH($F79,AV$8:AV$106,0),1),0))</f>
        <v>0</v>
      </c>
      <c r="AE79" s="248" t="b">
        <f t="shared" si="116"/>
        <v>0</v>
      </c>
      <c r="AF79" s="783" t="b">
        <f t="shared" ref="AF79:AF86" si="137">IFERROR(VLOOKUP($F79,$AV$8:$AY$108,2,FALSE),"")="常勤"</f>
        <v>0</v>
      </c>
      <c r="AG79" s="446" t="s">
        <v>804</v>
      </c>
      <c r="AH79" s="446" t="s">
        <v>804</v>
      </c>
      <c r="AI79" s="446">
        <v>1</v>
      </c>
      <c r="AJ79" s="248">
        <f t="shared" ref="AJ79:AJ80" si="138">IF(AND($W79,$J79="○"),IF($K79="-",IF($U79&lt;IF($AI79=5,$AM$4,$AM$3),$AI79,2),IF($K79=0,IF($U79&lt;IF($AI79=5,$AM$4,$AM$3),IF(OR($AI79=1,$AI79=5),$AI79,3),3),IF(K79&lt;IF($AI79=5,$AM$4,$AM$3),$AI79,IF($K79&gt;$U79,4,2)))),2)</f>
        <v>2</v>
      </c>
      <c r="AK79" s="249">
        <f t="shared" si="119"/>
        <v>0</v>
      </c>
      <c r="AR79" s="461"/>
      <c r="AS79" s="461"/>
      <c r="AT79" s="461"/>
      <c r="AU79" s="247">
        <f t="shared" si="122"/>
        <v>72</v>
      </c>
      <c r="AV79" s="1331" t="str">
        <f>AU79&amp;" "&amp;IF(AX79&lt;&gt;"-",'【様式2】職員名簿 '!B115&amp;"/"&amp;AW79&amp;"/"&amp;AX79,"")</f>
        <v xml:space="preserve">72 </v>
      </c>
      <c r="AW79" s="1331">
        <f>'【様式2】職員名簿 '!F115</f>
        <v>0</v>
      </c>
      <c r="AX79" s="1331" t="str">
        <f>IF('【様式2】職員名簿 '!K115="エラー","-",IF(AND('【様式2】職員名簿 '!C115=$AX$3,'【様式2】職員名簿 '!K115=$AX$4),$AX$3,'【様式2】職員名簿 '!K115))</f>
        <v>-</v>
      </c>
      <c r="AY79" s="783">
        <f>IF($AW79="常勤",$AN$2,IF($AW79="非常勤",'【様式2】職員名簿 '!H115,0))</f>
        <v>0</v>
      </c>
      <c r="AZ79" s="406">
        <f>IF($AX79=AZ$3,COUNTIF($AX$8:$AX79,AZ$3),0)</f>
        <v>0</v>
      </c>
      <c r="BA79" s="788" t="str">
        <f t="shared" si="92"/>
        <v/>
      </c>
      <c r="BB79" s="247">
        <f>IF(OR($AX79=BB$3,$AX79=BB$4),COUNTIF($AX$8:$AX79,BB$3)+COUNTIF($AX$8:$AX79,BB$4),0)</f>
        <v>0</v>
      </c>
      <c r="BC79" s="788" t="str">
        <f t="shared" si="93"/>
        <v/>
      </c>
      <c r="BD79" s="407">
        <f>IF(OR($AX79=$BD$4,$AX79=BD$3),COUNTIFS($AX$8:$AX79,BD$3,$AW$8:$AW79,BD$5)+COUNTIFS($AX$8:$AX79,BD$4,$AW$8:$AW79,BD$5),0)</f>
        <v>0</v>
      </c>
      <c r="BE79" s="788" t="str">
        <f t="shared" si="94"/>
        <v/>
      </c>
      <c r="BF79" s="248">
        <f>IF($AX79=BF$3,COUNTIF($AX$8:$AX79,BF$3),0)</f>
        <v>0</v>
      </c>
      <c r="BG79" s="788" t="str">
        <f t="shared" si="95"/>
        <v/>
      </c>
      <c r="BH79" s="247">
        <f>IF(OR($AX79=BH$3,$AX79=BH$4),COUNTIF($AX$8:$AX79,BH$3)+COUNTIF($AX$8:$AX79,BH$4),0)</f>
        <v>0</v>
      </c>
      <c r="BI79" s="788" t="str">
        <f t="shared" si="96"/>
        <v/>
      </c>
      <c r="BJ79" s="247">
        <f>IF($AX79=BJ$4,COUNTIFS($AW$8:$AW79,BJ$3,$AX$8:$AX79,BJ$4),0)</f>
        <v>0</v>
      </c>
      <c r="BK79" s="788" t="str">
        <f t="shared" si="97"/>
        <v/>
      </c>
      <c r="BL79" s="247">
        <f>IF($AX79=BL$3,COUNTIF($AX$8:$AX79,BL$3),0)</f>
        <v>0</v>
      </c>
      <c r="BM79" s="788" t="str">
        <f t="shared" si="98"/>
        <v/>
      </c>
      <c r="BN79" s="247">
        <f>IF($AX79=BN$3,COUNTIF($AX$8:$AX79,BN$3),0)</f>
        <v>0</v>
      </c>
      <c r="BO79" s="788" t="str">
        <f t="shared" si="99"/>
        <v/>
      </c>
      <c r="BP79" s="247">
        <f>IF($AX79&lt;&gt;BP$3,COUNTIF($AX$8:$AX79,"&lt;&gt;"&amp;BP$3),0)</f>
        <v>0</v>
      </c>
      <c r="BQ79" s="788" t="str">
        <f t="shared" si="100"/>
        <v/>
      </c>
      <c r="BR79" s="247">
        <f>IF($AX79=BR$3,COUNTIF($AX$8:$AX79,BR$3),0)</f>
        <v>0</v>
      </c>
      <c r="BS79" s="788" t="str">
        <f t="shared" si="101"/>
        <v/>
      </c>
      <c r="BT79" s="312"/>
      <c r="BU79" s="312"/>
    </row>
    <row r="80" spans="1:73" ht="15" customHeight="1">
      <c r="A80" s="2657"/>
      <c r="B80" s="2687" t="s">
        <v>41</v>
      </c>
      <c r="C80" s="2688"/>
      <c r="D80" s="2681" t="str">
        <f>IF(W80,T80,"")</f>
        <v/>
      </c>
      <c r="E80" s="2682"/>
      <c r="F80" s="2683"/>
      <c r="G80" s="2683"/>
      <c r="H80" s="2684"/>
      <c r="I80" s="897" t="str">
        <f t="shared" si="123"/>
        <v/>
      </c>
      <c r="J80" s="763" t="str">
        <f t="shared" si="124"/>
        <v/>
      </c>
      <c r="K80" s="914" t="s">
        <v>750</v>
      </c>
      <c r="L80" s="771" t="str">
        <f t="shared" si="132"/>
        <v/>
      </c>
      <c r="M80" s="772">
        <f t="shared" si="133"/>
        <v>0</v>
      </c>
      <c r="N80" s="773" t="str">
        <f t="shared" ref="N80" si="139">IF(Q80,"○","×")</f>
        <v>×</v>
      </c>
      <c r="O80" s="774" t="str">
        <f t="shared" si="134"/>
        <v>-</v>
      </c>
      <c r="P80" s="136"/>
      <c r="Q80" s="446" t="b">
        <f>【様式１】総括表・個票!AI470</f>
        <v>0</v>
      </c>
      <c r="R80" s="445" t="b">
        <f>AND(【様式１】総括表・個票!AI472,Q79)</f>
        <v>0</v>
      </c>
      <c r="S80" s="446" t="b">
        <f>AND(J80="○",$O$189&gt;=0)</f>
        <v>0</v>
      </c>
      <c r="T80" s="446" t="str">
        <f t="shared" si="135"/>
        <v>事務員</v>
      </c>
      <c r="U80" s="407">
        <f t="shared" si="136"/>
        <v>0</v>
      </c>
      <c r="V80" s="446">
        <v>2</v>
      </c>
      <c r="W80" s="446" t="b">
        <f>AND(Q80,R80)</f>
        <v>0</v>
      </c>
      <c r="X80" s="439" t="b">
        <f t="shared" ca="1" si="125"/>
        <v>0</v>
      </c>
      <c r="Y80" s="440" t="b">
        <f>COUNTIF($AD$30:AD79,AD80)+COUNTIF(AD81:$AD$147,AD80)-COUNTIF(Z80:AC80,AD80)=0</f>
        <v>0</v>
      </c>
      <c r="Z80" s="976" t="s">
        <v>804</v>
      </c>
      <c r="AA80" s="976" t="s">
        <v>804</v>
      </c>
      <c r="AB80" s="976" t="s">
        <v>804</v>
      </c>
      <c r="AC80" s="976" t="s">
        <v>804</v>
      </c>
      <c r="AD80" s="972">
        <f>IF(V80=3,0,IFERROR(INDEX($AU$8:$AU$106,MATCH($F80,AV$8:AV$106,0),1),0))</f>
        <v>0</v>
      </c>
      <c r="AE80" s="248" t="b">
        <f t="shared" si="116"/>
        <v>0</v>
      </c>
      <c r="AF80" s="783" t="b">
        <f t="shared" si="137"/>
        <v>0</v>
      </c>
      <c r="AG80" s="446" t="s">
        <v>804</v>
      </c>
      <c r="AH80" s="446" t="s">
        <v>804</v>
      </c>
      <c r="AI80" s="446">
        <v>1</v>
      </c>
      <c r="AJ80" s="248">
        <f t="shared" si="138"/>
        <v>2</v>
      </c>
      <c r="AK80" s="249">
        <f t="shared" si="119"/>
        <v>0</v>
      </c>
      <c r="AR80" s="461"/>
      <c r="AS80" s="461"/>
      <c r="AT80" s="461"/>
      <c r="AU80" s="247">
        <f t="shared" si="122"/>
        <v>73</v>
      </c>
      <c r="AV80" s="1331" t="str">
        <f>AU80&amp;" "&amp;IF(AX80&lt;&gt;"-",'【様式2】職員名簿 '!B116&amp;"/"&amp;AW80&amp;"/"&amp;AX80,"")</f>
        <v xml:space="preserve">73 </v>
      </c>
      <c r="AW80" s="1331">
        <f>'【様式2】職員名簿 '!F116</f>
        <v>0</v>
      </c>
      <c r="AX80" s="1331" t="str">
        <f>IF('【様式2】職員名簿 '!K116="エラー","-",IF(AND('【様式2】職員名簿 '!C116=$AX$3,'【様式2】職員名簿 '!K116=$AX$4),$AX$3,'【様式2】職員名簿 '!K116))</f>
        <v>-</v>
      </c>
      <c r="AY80" s="783">
        <f>IF($AW80="常勤",$AN$2,IF($AW80="非常勤",'【様式2】職員名簿 '!H116,0))</f>
        <v>0</v>
      </c>
      <c r="AZ80" s="406">
        <f>IF($AX80=AZ$3,COUNTIF($AX$8:$AX80,AZ$3),0)</f>
        <v>0</v>
      </c>
      <c r="BA80" s="788" t="str">
        <f t="shared" si="92"/>
        <v/>
      </c>
      <c r="BB80" s="247">
        <f>IF(OR($AX80=BB$3,$AX80=BB$4),COUNTIF($AX$8:$AX80,BB$3)+COUNTIF($AX$8:$AX80,BB$4),0)</f>
        <v>0</v>
      </c>
      <c r="BC80" s="788" t="str">
        <f t="shared" si="93"/>
        <v/>
      </c>
      <c r="BD80" s="407">
        <f>IF(OR($AX80=$BD$4,$AX80=BD$3),COUNTIFS($AX$8:$AX80,BD$3,$AW$8:$AW80,BD$5)+COUNTIFS($AX$8:$AX80,BD$4,$AW$8:$AW80,BD$5),0)</f>
        <v>0</v>
      </c>
      <c r="BE80" s="788" t="str">
        <f t="shared" si="94"/>
        <v/>
      </c>
      <c r="BF80" s="248">
        <f>IF($AX80=BF$3,COUNTIF($AX$8:$AX80,BF$3),0)</f>
        <v>0</v>
      </c>
      <c r="BG80" s="788" t="str">
        <f t="shared" si="95"/>
        <v/>
      </c>
      <c r="BH80" s="247">
        <f>IF(OR($AX80=BH$3,$AX80=BH$4),COUNTIF($AX$8:$AX80,BH$3)+COUNTIF($AX$8:$AX80,BH$4),0)</f>
        <v>0</v>
      </c>
      <c r="BI80" s="788" t="str">
        <f t="shared" si="96"/>
        <v/>
      </c>
      <c r="BJ80" s="247">
        <f>IF($AX80=BJ$4,COUNTIFS($AW$8:$AW80,BJ$3,$AX$8:$AX80,BJ$4),0)</f>
        <v>0</v>
      </c>
      <c r="BK80" s="788" t="str">
        <f t="shared" si="97"/>
        <v/>
      </c>
      <c r="BL80" s="247">
        <f>IF($AX80=BL$3,COUNTIF($AX$8:$AX80,BL$3),0)</f>
        <v>0</v>
      </c>
      <c r="BM80" s="788" t="str">
        <f t="shared" si="98"/>
        <v/>
      </c>
      <c r="BN80" s="247">
        <f>IF($AX80=BN$3,COUNTIF($AX$8:$AX80,BN$3),0)</f>
        <v>0</v>
      </c>
      <c r="BO80" s="788" t="str">
        <f t="shared" si="99"/>
        <v/>
      </c>
      <c r="BP80" s="247">
        <f>IF($AX80&lt;&gt;BP$3,COUNTIF($AX$8:$AX80,"&lt;&gt;"&amp;BP$3),0)</f>
        <v>0</v>
      </c>
      <c r="BQ80" s="788" t="str">
        <f t="shared" si="100"/>
        <v/>
      </c>
      <c r="BR80" s="247">
        <f>IF($AX80=BR$3,COUNTIF($AX$8:$AX80,BR$3),0)</f>
        <v>0</v>
      </c>
      <c r="BS80" s="788" t="str">
        <f t="shared" si="101"/>
        <v/>
      </c>
      <c r="BT80" s="312"/>
      <c r="BU80" s="312"/>
    </row>
    <row r="81" spans="1:73" ht="15" customHeight="1" thickBot="1">
      <c r="A81" s="2807" t="s">
        <v>7</v>
      </c>
      <c r="B81" s="3009" t="s">
        <v>841</v>
      </c>
      <c r="C81" s="1609"/>
      <c r="D81" s="1607" t="str">
        <f t="shared" ref="D81:D86" si="140">IF(W81,T81,"")</f>
        <v/>
      </c>
      <c r="E81" s="2686"/>
      <c r="F81" s="2744"/>
      <c r="G81" s="2744"/>
      <c r="H81" s="2745"/>
      <c r="I81" s="895" t="str">
        <f t="shared" si="123"/>
        <v/>
      </c>
      <c r="J81" s="907" t="str">
        <f>IF(OR(F81=0,F81=""),"",IF(W81,IF(X81,IF(OR(Y81,V81=3),IF(AE81,IF(OR(AF81,V81=2,V81=3),"○","要常勤"),"時間無"),"重複"),"名簿無"),"対象外"))</f>
        <v/>
      </c>
      <c r="K81" s="1143" t="s">
        <v>1274</v>
      </c>
      <c r="L81" s="770" t="str">
        <f t="shared" ref="L81:L86" si="141">IF(AJ81=1,"調整①→",IF(AJ81=5,"調整②→",IF(AJ81=2,"",IF(AJ81=3,"全計上→","エラー"))))</f>
        <v/>
      </c>
      <c r="M81" s="762">
        <f t="shared" si="133"/>
        <v>0</v>
      </c>
      <c r="N81" s="995" t="str">
        <f t="shared" ref="N81" si="142">IF(Q81,"○","×")</f>
        <v>×</v>
      </c>
      <c r="O81" s="729" t="str">
        <f>IF(Q81,IF(S81,"○","×"),"-")</f>
        <v>-</v>
      </c>
      <c r="P81" s="136"/>
      <c r="Q81" s="975" t="b">
        <f>【様式１】総括表・個票!AI432</f>
        <v>0</v>
      </c>
      <c r="R81" s="998" t="s">
        <v>1242</v>
      </c>
      <c r="S81" s="998" t="b">
        <f>AND($J81="○",$O$167&gt;=0)</f>
        <v>0</v>
      </c>
      <c r="T81" s="446" t="str">
        <f t="shared" ref="T81:T86" si="143">$BQ$6</f>
        <v>全職種</v>
      </c>
      <c r="U81" s="407">
        <f t="shared" si="136"/>
        <v>0</v>
      </c>
      <c r="V81" s="446">
        <v>2</v>
      </c>
      <c r="W81" s="446" t="b">
        <f>Q81</f>
        <v>0</v>
      </c>
      <c r="X81" s="439" t="b">
        <f t="shared" ca="1" si="125"/>
        <v>0</v>
      </c>
      <c r="Y81" s="440" t="b">
        <f>COUNTIF($AD$30:AD80,AD81)+COUNTIF(AD82:$AD$147,AD81)-COUNTIF(Z81:AC81,AD81)=0</f>
        <v>0</v>
      </c>
      <c r="Z81" s="976" t="s">
        <v>804</v>
      </c>
      <c r="AA81" s="976" t="s">
        <v>804</v>
      </c>
      <c r="AB81" s="976" t="s">
        <v>804</v>
      </c>
      <c r="AC81" s="976" t="s">
        <v>804</v>
      </c>
      <c r="AD81" s="972">
        <f t="shared" ref="AD81:AD86" si="144">IF(V81=3,0,IFERROR(INDEX($AU$8:$AU$108,MATCH($F81,AV$8:AV$108,0),1),0))</f>
        <v>0</v>
      </c>
      <c r="AE81" s="248" t="b">
        <f t="shared" si="116"/>
        <v>0</v>
      </c>
      <c r="AF81" s="783" t="b">
        <f t="shared" si="137"/>
        <v>0</v>
      </c>
      <c r="AG81" s="446" t="s">
        <v>804</v>
      </c>
      <c r="AH81" s="446" t="s">
        <v>804</v>
      </c>
      <c r="AI81" s="446">
        <v>2</v>
      </c>
      <c r="AJ81" s="248">
        <f t="shared" ref="AJ81:AJ86" si="145">IF(AND($W81,$J81="○"),IF($K81="-",IF($U81&lt;IF($AI81=5,$AM$4,$AM$3),$AI81,2),IF($K81=0,IF($U81&lt;IF($AI81=5,$AM$4,$AM$3),IF(OR($AI81=1,$AI81=5),$AI81,3),3),IF(K81&lt;IF($AI81=5,$AM$4,$AM$3),$AI81,IF($K81&gt;$U81,4,2)))),2)</f>
        <v>2</v>
      </c>
      <c r="AK81" s="249">
        <f t="shared" si="119"/>
        <v>0</v>
      </c>
      <c r="AR81" s="461"/>
      <c r="AS81" s="461"/>
      <c r="AT81" s="461"/>
      <c r="AU81" s="247">
        <f t="shared" si="122"/>
        <v>74</v>
      </c>
      <c r="AV81" s="1331" t="str">
        <f>AU81&amp;" "&amp;IF(AX81&lt;&gt;"-",'【様式2】職員名簿 '!B117&amp;"/"&amp;AW81&amp;"/"&amp;AX81,"")</f>
        <v xml:space="preserve">74 </v>
      </c>
      <c r="AW81" s="1331">
        <f>'【様式2】職員名簿 '!F117</f>
        <v>0</v>
      </c>
      <c r="AX81" s="1331" t="str">
        <f>IF('【様式2】職員名簿 '!K117="エラー","-",IF(AND('【様式2】職員名簿 '!C117=$AX$3,'【様式2】職員名簿 '!K117=$AX$4),$AX$3,'【様式2】職員名簿 '!K117))</f>
        <v>-</v>
      </c>
      <c r="AY81" s="783">
        <f>IF($AW81="常勤",$AN$2,IF($AW81="非常勤",'【様式2】職員名簿 '!H117,0))</f>
        <v>0</v>
      </c>
      <c r="AZ81" s="406">
        <f>IF($AX81=AZ$3,COUNTIF($AX$8:$AX81,AZ$3),0)</f>
        <v>0</v>
      </c>
      <c r="BA81" s="788" t="str">
        <f t="shared" si="92"/>
        <v/>
      </c>
      <c r="BB81" s="247">
        <f>IF(OR($AX81=BB$3,$AX81=BB$4),COUNTIF($AX$8:$AX81,BB$3)+COUNTIF($AX$8:$AX81,BB$4),0)</f>
        <v>0</v>
      </c>
      <c r="BC81" s="788" t="str">
        <f t="shared" si="93"/>
        <v/>
      </c>
      <c r="BD81" s="407">
        <f>IF(OR($AX81=$BD$4,$AX81=BD$3),COUNTIFS($AX$8:$AX81,BD$3,$AW$8:$AW81,BD$5)+COUNTIFS($AX$8:$AX81,BD$4,$AW$8:$AW81,BD$5),0)</f>
        <v>0</v>
      </c>
      <c r="BE81" s="788" t="str">
        <f t="shared" si="94"/>
        <v/>
      </c>
      <c r="BF81" s="248">
        <f>IF($AX81=BF$3,COUNTIF($AX$8:$AX81,BF$3),0)</f>
        <v>0</v>
      </c>
      <c r="BG81" s="788" t="str">
        <f t="shared" si="95"/>
        <v/>
      </c>
      <c r="BH81" s="247">
        <f>IF(OR($AX81=BH$3,$AX81=BH$4),COUNTIF($AX$8:$AX81,BH$3)+COUNTIF($AX$8:$AX81,BH$4),0)</f>
        <v>0</v>
      </c>
      <c r="BI81" s="788" t="str">
        <f t="shared" si="96"/>
        <v/>
      </c>
      <c r="BJ81" s="247">
        <f>IF($AX81=BJ$4,COUNTIFS($AW$8:$AW81,BJ$3,$AX$8:$AX81,BJ$4),0)</f>
        <v>0</v>
      </c>
      <c r="BK81" s="788" t="str">
        <f t="shared" si="97"/>
        <v/>
      </c>
      <c r="BL81" s="247">
        <f>IF($AX81=BL$3,COUNTIF($AX$8:$AX81,BL$3),0)</f>
        <v>0</v>
      </c>
      <c r="BM81" s="788" t="str">
        <f t="shared" si="98"/>
        <v/>
      </c>
      <c r="BN81" s="247">
        <f>IF($AX81=BN$3,COUNTIF($AX$8:$AX81,BN$3),0)</f>
        <v>0</v>
      </c>
      <c r="BO81" s="788" t="str">
        <f t="shared" si="99"/>
        <v/>
      </c>
      <c r="BP81" s="247">
        <f>IF($AX81&lt;&gt;BP$3,COUNTIF($AX$8:$AX81,"&lt;&gt;"&amp;BP$3),0)</f>
        <v>0</v>
      </c>
      <c r="BQ81" s="788" t="str">
        <f t="shared" si="100"/>
        <v/>
      </c>
      <c r="BR81" s="247">
        <f>IF($AX81=BR$3,COUNTIF($AX$8:$AX81,BR$3),0)</f>
        <v>0</v>
      </c>
      <c r="BS81" s="788" t="str">
        <f t="shared" si="101"/>
        <v/>
      </c>
      <c r="BT81" s="312"/>
      <c r="BU81" s="312"/>
    </row>
    <row r="82" spans="1:73" ht="15" customHeight="1" thickTop="1">
      <c r="A82" s="2656"/>
      <c r="B82" s="2733" t="s">
        <v>842</v>
      </c>
      <c r="C82" s="2665"/>
      <c r="D82" s="2856" t="str">
        <f t="shared" si="140"/>
        <v>全職種</v>
      </c>
      <c r="E82" s="2857"/>
      <c r="F82" s="2763"/>
      <c r="G82" s="2763"/>
      <c r="H82" s="2764"/>
      <c r="I82" s="894" t="str">
        <f t="shared" si="123"/>
        <v/>
      </c>
      <c r="J82" s="441" t="str">
        <f t="shared" ref="J82:J85" si="146">IF(OR(F82=0,F82=""),"",IF(W82,IF(X82,IF(OR(Y82,V82=3),IF(AE82,IF(OR(AF82,V82=2,V82=3),"○","要常勤"),"時間無"),"重複"),"名簿無"),"対象外"))</f>
        <v/>
      </c>
      <c r="K82" s="915" t="s">
        <v>804</v>
      </c>
      <c r="L82" s="442" t="str">
        <f t="shared" si="141"/>
        <v/>
      </c>
      <c r="M82" s="443">
        <f t="shared" si="133"/>
        <v>0</v>
      </c>
      <c r="N82" s="2664">
        <f>SUM(M82:M86)</f>
        <v>0</v>
      </c>
      <c r="O82" s="2665"/>
      <c r="P82" s="136"/>
      <c r="Q82" s="493"/>
      <c r="R82" s="493"/>
      <c r="S82" s="493"/>
      <c r="T82" s="446" t="str">
        <f t="shared" si="143"/>
        <v>全職種</v>
      </c>
      <c r="U82" s="407">
        <f t="shared" si="136"/>
        <v>0</v>
      </c>
      <c r="V82" s="446">
        <v>2</v>
      </c>
      <c r="W82" s="446" t="b">
        <f>NOT(AF82)</f>
        <v>1</v>
      </c>
      <c r="X82" s="439" t="b">
        <f t="shared" ca="1" si="125"/>
        <v>0</v>
      </c>
      <c r="Y82" s="440" t="b">
        <f>COUNTIF($AD$30:AD81,AD82)+COUNTIF(AD83:$AD$147,AD82)-COUNTIF(Z82:AC82,AD82)=0</f>
        <v>0</v>
      </c>
      <c r="Z82" s="976" t="s">
        <v>804</v>
      </c>
      <c r="AA82" s="976" t="s">
        <v>804</v>
      </c>
      <c r="AB82" s="976" t="s">
        <v>804</v>
      </c>
      <c r="AC82" s="976" t="s">
        <v>804</v>
      </c>
      <c r="AD82" s="972">
        <f t="shared" si="144"/>
        <v>0</v>
      </c>
      <c r="AE82" s="248" t="b">
        <f t="shared" si="116"/>
        <v>0</v>
      </c>
      <c r="AF82" s="783" t="b">
        <f t="shared" si="137"/>
        <v>0</v>
      </c>
      <c r="AG82" s="446" t="str">
        <f>IFERROR(VLOOKUP(F82,$AV$8:$AY$108,3,FALSE),"")</f>
        <v/>
      </c>
      <c r="AH82" s="473">
        <f t="shared" ref="AH82:AH86" si="147">M82</f>
        <v>0</v>
      </c>
      <c r="AI82" s="446">
        <v>2</v>
      </c>
      <c r="AJ82" s="248">
        <f t="shared" si="145"/>
        <v>2</v>
      </c>
      <c r="AK82" s="249">
        <f t="shared" si="119"/>
        <v>0</v>
      </c>
      <c r="AR82" s="461"/>
      <c r="AS82" s="461"/>
      <c r="AT82" s="461"/>
      <c r="AU82" s="247">
        <f t="shared" si="122"/>
        <v>75</v>
      </c>
      <c r="AV82" s="1331" t="str">
        <f>AU82&amp;" "&amp;IF(AX82&lt;&gt;"-",'【様式2】職員名簿 '!B118&amp;"/"&amp;AW82&amp;"/"&amp;AX82,"")</f>
        <v xml:space="preserve">75 </v>
      </c>
      <c r="AW82" s="1331">
        <f>'【様式2】職員名簿 '!F118</f>
        <v>0</v>
      </c>
      <c r="AX82" s="1331" t="str">
        <f>IF('【様式2】職員名簿 '!K118="エラー","-",IF(AND('【様式2】職員名簿 '!C118=$AX$3,'【様式2】職員名簿 '!K118=$AX$4),$AX$3,'【様式2】職員名簿 '!K118))</f>
        <v>-</v>
      </c>
      <c r="AY82" s="783">
        <f>IF($AW82="常勤",$AN$2,IF($AW82="非常勤",'【様式2】職員名簿 '!H118,0))</f>
        <v>0</v>
      </c>
      <c r="AZ82" s="406">
        <f>IF($AX82=AZ$3,COUNTIF($AX$8:$AX82,AZ$3),0)</f>
        <v>0</v>
      </c>
      <c r="BA82" s="788" t="str">
        <f t="shared" si="92"/>
        <v/>
      </c>
      <c r="BB82" s="247">
        <f>IF(OR($AX82=BB$3,$AX82=BB$4),COUNTIF($AX$8:$AX82,BB$3)+COUNTIF($AX$8:$AX82,BB$4),0)</f>
        <v>0</v>
      </c>
      <c r="BC82" s="788" t="str">
        <f t="shared" si="93"/>
        <v/>
      </c>
      <c r="BD82" s="407">
        <f>IF(OR($AX82=$BD$4,$AX82=BD$3),COUNTIFS($AX$8:$AX82,BD$3,$AW$8:$AW82,BD$5)+COUNTIFS($AX$8:$AX82,BD$4,$AW$8:$AW82,BD$5),0)</f>
        <v>0</v>
      </c>
      <c r="BE82" s="788" t="str">
        <f t="shared" si="94"/>
        <v/>
      </c>
      <c r="BF82" s="248">
        <f>IF($AX82=BF$3,COUNTIF($AX$8:$AX82,BF$3),0)</f>
        <v>0</v>
      </c>
      <c r="BG82" s="788" t="str">
        <f t="shared" si="95"/>
        <v/>
      </c>
      <c r="BH82" s="247">
        <f>IF(OR($AX82=BH$3,$AX82=BH$4),COUNTIF($AX$8:$AX82,BH$3)+COUNTIF($AX$8:$AX82,BH$4),0)</f>
        <v>0</v>
      </c>
      <c r="BI82" s="788" t="str">
        <f t="shared" si="96"/>
        <v/>
      </c>
      <c r="BJ82" s="247">
        <f>IF($AX82=BJ$4,COUNTIFS($AW$8:$AW82,BJ$3,$AX$8:$AX82,BJ$4),0)</f>
        <v>0</v>
      </c>
      <c r="BK82" s="788" t="str">
        <f t="shared" si="97"/>
        <v/>
      </c>
      <c r="BL82" s="247">
        <f>IF($AX82=BL$3,COUNTIF($AX$8:$AX82,BL$3),0)</f>
        <v>0</v>
      </c>
      <c r="BM82" s="788" t="str">
        <f t="shared" si="98"/>
        <v/>
      </c>
      <c r="BN82" s="247">
        <f>IF($AX82=BN$3,COUNTIF($AX$8:$AX82,BN$3),0)</f>
        <v>0</v>
      </c>
      <c r="BO82" s="788" t="str">
        <f t="shared" si="99"/>
        <v/>
      </c>
      <c r="BP82" s="247">
        <f>IF($AX82&lt;&gt;BP$3,COUNTIF($AX$8:$AX82,"&lt;&gt;"&amp;BP$3),0)</f>
        <v>0</v>
      </c>
      <c r="BQ82" s="788" t="str">
        <f t="shared" si="100"/>
        <v/>
      </c>
      <c r="BR82" s="247">
        <f>IF($AX82=BR$3,COUNTIF($AX$8:$AX82,BR$3),0)</f>
        <v>0</v>
      </c>
      <c r="BS82" s="788" t="str">
        <f t="shared" si="101"/>
        <v/>
      </c>
      <c r="BT82" s="312"/>
      <c r="BU82" s="312"/>
    </row>
    <row r="83" spans="1:73" ht="15" customHeight="1">
      <c r="A83" s="2656"/>
      <c r="B83" s="2828"/>
      <c r="C83" s="2666"/>
      <c r="D83" s="2739" t="str">
        <f>IF(W83,T83,"")</f>
        <v>全職種</v>
      </c>
      <c r="E83" s="2740"/>
      <c r="F83" s="2677"/>
      <c r="G83" s="2677"/>
      <c r="H83" s="2678"/>
      <c r="I83" s="890" t="str">
        <f t="shared" si="123"/>
        <v/>
      </c>
      <c r="J83" s="447" t="str">
        <f t="shared" si="146"/>
        <v/>
      </c>
      <c r="K83" s="801" t="s">
        <v>804</v>
      </c>
      <c r="L83" s="448" t="str">
        <f t="shared" si="141"/>
        <v/>
      </c>
      <c r="M83" s="449">
        <f t="shared" si="133"/>
        <v>0</v>
      </c>
      <c r="N83" s="2577"/>
      <c r="O83" s="2666"/>
      <c r="P83" s="136"/>
      <c r="Q83" s="494"/>
      <c r="R83" s="494"/>
      <c r="S83" s="494"/>
      <c r="T83" s="446" t="str">
        <f t="shared" si="143"/>
        <v>全職種</v>
      </c>
      <c r="U83" s="407">
        <f t="shared" si="136"/>
        <v>0</v>
      </c>
      <c r="V83" s="446">
        <v>2</v>
      </c>
      <c r="W83" s="446" t="b">
        <f t="shared" ref="W83:W86" si="148">NOT(AF83)</f>
        <v>1</v>
      </c>
      <c r="X83" s="439" t="b">
        <f t="shared" ca="1" si="125"/>
        <v>0</v>
      </c>
      <c r="Y83" s="440" t="b">
        <f>COUNTIF($AD$30:AD82,AD83)+COUNTIF(AD84:$AD$147,AD83)-COUNTIF(Z83:AC83,AD83)=0</f>
        <v>0</v>
      </c>
      <c r="Z83" s="976" t="s">
        <v>804</v>
      </c>
      <c r="AA83" s="976" t="s">
        <v>804</v>
      </c>
      <c r="AB83" s="976" t="s">
        <v>804</v>
      </c>
      <c r="AC83" s="976" t="s">
        <v>804</v>
      </c>
      <c r="AD83" s="972">
        <f t="shared" si="144"/>
        <v>0</v>
      </c>
      <c r="AE83" s="248" t="b">
        <f t="shared" si="116"/>
        <v>0</v>
      </c>
      <c r="AF83" s="783" t="b">
        <f t="shared" si="137"/>
        <v>0</v>
      </c>
      <c r="AG83" s="446" t="str">
        <f>IFERROR(VLOOKUP(F83,$AV$8:$AY$108,3,FALSE),"")</f>
        <v/>
      </c>
      <c r="AH83" s="473">
        <f t="shared" si="147"/>
        <v>0</v>
      </c>
      <c r="AI83" s="446">
        <v>2</v>
      </c>
      <c r="AJ83" s="248">
        <f t="shared" si="145"/>
        <v>2</v>
      </c>
      <c r="AK83" s="249">
        <f t="shared" si="119"/>
        <v>0</v>
      </c>
      <c r="AN83" s="510"/>
      <c r="AR83" s="461"/>
      <c r="AS83" s="461"/>
      <c r="AT83" s="461"/>
      <c r="AU83" s="247">
        <f t="shared" si="122"/>
        <v>76</v>
      </c>
      <c r="AV83" s="1331" t="str">
        <f>AU83&amp;" "&amp;IF(AX83&lt;&gt;"-",'【様式2】職員名簿 '!B119&amp;"/"&amp;AW83&amp;"/"&amp;AX83,"")</f>
        <v xml:space="preserve">76 </v>
      </c>
      <c r="AW83" s="1331">
        <f>'【様式2】職員名簿 '!F119</f>
        <v>0</v>
      </c>
      <c r="AX83" s="1331" t="str">
        <f>IF('【様式2】職員名簿 '!K119="エラー","-",IF(AND('【様式2】職員名簿 '!C119=$AX$3,'【様式2】職員名簿 '!K119=$AX$4),$AX$3,'【様式2】職員名簿 '!K119))</f>
        <v>-</v>
      </c>
      <c r="AY83" s="783">
        <f>IF($AW83="常勤",$AN$2,IF($AW83="非常勤",'【様式2】職員名簿 '!H119,0))</f>
        <v>0</v>
      </c>
      <c r="AZ83" s="406">
        <f>IF($AX83=AZ$3,COUNTIF($AX$8:$AX83,AZ$3),0)</f>
        <v>0</v>
      </c>
      <c r="BA83" s="788" t="str">
        <f t="shared" si="92"/>
        <v/>
      </c>
      <c r="BB83" s="247">
        <f>IF(OR($AX83=BB$3,$AX83=BB$4),COUNTIF($AX$8:$AX83,BB$3)+COUNTIF($AX$8:$AX83,BB$4),0)</f>
        <v>0</v>
      </c>
      <c r="BC83" s="788" t="str">
        <f t="shared" si="93"/>
        <v/>
      </c>
      <c r="BD83" s="407">
        <f>IF(OR($AX83=$BD$4,$AX83=BD$3),COUNTIFS($AX$8:$AX83,BD$3,$AW$8:$AW83,BD$5)+COUNTIFS($AX$8:$AX83,BD$4,$AW$8:$AW83,BD$5),0)</f>
        <v>0</v>
      </c>
      <c r="BE83" s="788" t="str">
        <f t="shared" si="94"/>
        <v/>
      </c>
      <c r="BF83" s="248">
        <f>IF($AX83=BF$3,COUNTIF($AX$8:$AX83,BF$3),0)</f>
        <v>0</v>
      </c>
      <c r="BG83" s="788" t="str">
        <f t="shared" si="95"/>
        <v/>
      </c>
      <c r="BH83" s="247">
        <f>IF(OR($AX83=BH$3,$AX83=BH$4),COUNTIF($AX$8:$AX83,BH$3)+COUNTIF($AX$8:$AX83,BH$4),0)</f>
        <v>0</v>
      </c>
      <c r="BI83" s="788" t="str">
        <f t="shared" si="96"/>
        <v/>
      </c>
      <c r="BJ83" s="247">
        <f>IF($AX83=BJ$4,COUNTIFS($AW$8:$AW83,BJ$3,$AX$8:$AX83,BJ$4),0)</f>
        <v>0</v>
      </c>
      <c r="BK83" s="788" t="str">
        <f t="shared" si="97"/>
        <v/>
      </c>
      <c r="BL83" s="247">
        <f>IF($AX83=BL$3,COUNTIF($AX$8:$AX83,BL$3),0)</f>
        <v>0</v>
      </c>
      <c r="BM83" s="788" t="str">
        <f t="shared" si="98"/>
        <v/>
      </c>
      <c r="BN83" s="247">
        <f>IF($AX83=BN$3,COUNTIF($AX$8:$AX83,BN$3),0)</f>
        <v>0</v>
      </c>
      <c r="BO83" s="788" t="str">
        <f t="shared" si="99"/>
        <v/>
      </c>
      <c r="BP83" s="247">
        <f>IF($AX83&lt;&gt;BP$3,COUNTIF($AX$8:$AX83,"&lt;&gt;"&amp;BP$3),0)</f>
        <v>0</v>
      </c>
      <c r="BQ83" s="788" t="str">
        <f t="shared" si="100"/>
        <v/>
      </c>
      <c r="BR83" s="247">
        <f>IF($AX83=BR$3,COUNTIF($AX$8:$AX83,BR$3),0)</f>
        <v>0</v>
      </c>
      <c r="BS83" s="788" t="str">
        <f t="shared" si="101"/>
        <v/>
      </c>
      <c r="BT83" s="312"/>
      <c r="BU83" s="312"/>
    </row>
    <row r="84" spans="1:73" ht="15" customHeight="1">
      <c r="A84" s="2656"/>
      <c r="B84" s="2828"/>
      <c r="C84" s="2666"/>
      <c r="D84" s="2739" t="str">
        <f t="shared" si="140"/>
        <v>全職種</v>
      </c>
      <c r="E84" s="2740"/>
      <c r="F84" s="2677"/>
      <c r="G84" s="2677"/>
      <c r="H84" s="2678"/>
      <c r="I84" s="890" t="str">
        <f t="shared" si="123"/>
        <v/>
      </c>
      <c r="J84" s="447" t="str">
        <f t="shared" si="146"/>
        <v/>
      </c>
      <c r="K84" s="801" t="s">
        <v>804</v>
      </c>
      <c r="L84" s="448" t="str">
        <f t="shared" si="141"/>
        <v/>
      </c>
      <c r="M84" s="449">
        <f t="shared" si="133"/>
        <v>0</v>
      </c>
      <c r="N84" s="2577"/>
      <c r="O84" s="2666"/>
      <c r="P84" s="136"/>
      <c r="Q84" s="494"/>
      <c r="R84" s="494"/>
      <c r="S84" s="494"/>
      <c r="T84" s="446" t="str">
        <f t="shared" si="143"/>
        <v>全職種</v>
      </c>
      <c r="U84" s="407">
        <f t="shared" si="136"/>
        <v>0</v>
      </c>
      <c r="V84" s="446">
        <v>2</v>
      </c>
      <c r="W84" s="446" t="b">
        <f t="shared" si="148"/>
        <v>1</v>
      </c>
      <c r="X84" s="439" t="b">
        <f t="shared" ca="1" si="125"/>
        <v>0</v>
      </c>
      <c r="Y84" s="440" t="b">
        <f>COUNTIF($AD$30:AD83,AD84)+COUNTIF(AD85:$AD$147,AD84)-COUNTIF(Z84:AC84,AD84)=0</f>
        <v>0</v>
      </c>
      <c r="Z84" s="976" t="s">
        <v>804</v>
      </c>
      <c r="AA84" s="976" t="s">
        <v>804</v>
      </c>
      <c r="AB84" s="976" t="s">
        <v>804</v>
      </c>
      <c r="AC84" s="976" t="s">
        <v>804</v>
      </c>
      <c r="AD84" s="972">
        <f t="shared" si="144"/>
        <v>0</v>
      </c>
      <c r="AE84" s="248" t="b">
        <f t="shared" si="116"/>
        <v>0</v>
      </c>
      <c r="AF84" s="783" t="b">
        <f t="shared" si="137"/>
        <v>0</v>
      </c>
      <c r="AG84" s="446" t="str">
        <f>IFERROR(VLOOKUP(F84,$AV$8:$AY$108,3,FALSE),"")</f>
        <v/>
      </c>
      <c r="AH84" s="473">
        <f t="shared" si="147"/>
        <v>0</v>
      </c>
      <c r="AI84" s="446">
        <v>2</v>
      </c>
      <c r="AJ84" s="248">
        <f t="shared" si="145"/>
        <v>2</v>
      </c>
      <c r="AK84" s="249">
        <f t="shared" si="119"/>
        <v>0</v>
      </c>
      <c r="AN84" s="510"/>
      <c r="AQ84" s="461"/>
      <c r="AR84" s="461"/>
      <c r="AS84" s="461"/>
      <c r="AT84" s="461"/>
      <c r="AU84" s="247">
        <f t="shared" si="122"/>
        <v>77</v>
      </c>
      <c r="AV84" s="1331" t="str">
        <f>AU84&amp;" "&amp;IF(AX84&lt;&gt;"-",'【様式2】職員名簿 '!B120&amp;"/"&amp;AW84&amp;"/"&amp;AX84,"")</f>
        <v xml:space="preserve">77 </v>
      </c>
      <c r="AW84" s="1331">
        <f>'【様式2】職員名簿 '!F120</f>
        <v>0</v>
      </c>
      <c r="AX84" s="1331" t="str">
        <f>IF('【様式2】職員名簿 '!K120="エラー","-",IF(AND('【様式2】職員名簿 '!C120=$AX$3,'【様式2】職員名簿 '!K120=$AX$4),$AX$3,'【様式2】職員名簿 '!K120))</f>
        <v>-</v>
      </c>
      <c r="AY84" s="783">
        <f>IF($AW84="常勤",$AN$2,IF($AW84="非常勤",'【様式2】職員名簿 '!H120,0))</f>
        <v>0</v>
      </c>
      <c r="AZ84" s="406">
        <f>IF($AX84=AZ$3,COUNTIF($AX$8:$AX84,AZ$3),0)</f>
        <v>0</v>
      </c>
      <c r="BA84" s="788" t="str">
        <f t="shared" si="92"/>
        <v/>
      </c>
      <c r="BB84" s="247">
        <f>IF(OR($AX84=BB$3,$AX84=BB$4),COUNTIF($AX$8:$AX84,BB$3)+COUNTIF($AX$8:$AX84,BB$4),0)</f>
        <v>0</v>
      </c>
      <c r="BC84" s="788" t="str">
        <f t="shared" si="93"/>
        <v/>
      </c>
      <c r="BD84" s="407">
        <f>IF(OR($AX84=$BD$4,$AX84=BD$3),COUNTIFS($AX$8:$AX84,BD$3,$AW$8:$AW84,BD$5)+COUNTIFS($AX$8:$AX84,BD$4,$AW$8:$AW84,BD$5),0)</f>
        <v>0</v>
      </c>
      <c r="BE84" s="788" t="str">
        <f t="shared" si="94"/>
        <v/>
      </c>
      <c r="BF84" s="248">
        <f>IF($AX84=BF$3,COUNTIF($AX$8:$AX84,BF$3),0)</f>
        <v>0</v>
      </c>
      <c r="BG84" s="788" t="str">
        <f t="shared" si="95"/>
        <v/>
      </c>
      <c r="BH84" s="247">
        <f>IF(OR($AX84=BH$3,$AX84=BH$4),COUNTIF($AX$8:$AX84,BH$3)+COUNTIF($AX$8:$AX84,BH$4),0)</f>
        <v>0</v>
      </c>
      <c r="BI84" s="788" t="str">
        <f t="shared" si="96"/>
        <v/>
      </c>
      <c r="BJ84" s="247">
        <f>IF($AX84=BJ$4,COUNTIFS($AW$8:$AW84,BJ$3,$AX$8:$AX84,BJ$4),0)</f>
        <v>0</v>
      </c>
      <c r="BK84" s="788" t="str">
        <f t="shared" si="97"/>
        <v/>
      </c>
      <c r="BL84" s="247">
        <f>IF($AX84=BL$3,COUNTIF($AX$8:$AX84,BL$3),0)</f>
        <v>0</v>
      </c>
      <c r="BM84" s="788" t="str">
        <f t="shared" si="98"/>
        <v/>
      </c>
      <c r="BN84" s="247">
        <f>IF($AX84=BN$3,COUNTIF($AX$8:$AX84,BN$3),0)</f>
        <v>0</v>
      </c>
      <c r="BO84" s="788" t="str">
        <f t="shared" si="99"/>
        <v/>
      </c>
      <c r="BP84" s="247">
        <f>IF($AX84&lt;&gt;BP$3,COUNTIF($AX$8:$AX84,"&lt;&gt;"&amp;BP$3),0)</f>
        <v>0</v>
      </c>
      <c r="BQ84" s="788" t="str">
        <f t="shared" si="100"/>
        <v/>
      </c>
      <c r="BR84" s="247">
        <f>IF($AX84=BR$3,COUNTIF($AX$8:$AX84,BR$3),0)</f>
        <v>0</v>
      </c>
      <c r="BS84" s="788" t="str">
        <f t="shared" si="101"/>
        <v/>
      </c>
      <c r="BT84" s="312"/>
      <c r="BU84" s="312"/>
    </row>
    <row r="85" spans="1:73" ht="15" customHeight="1">
      <c r="A85" s="2656"/>
      <c r="B85" s="2828"/>
      <c r="C85" s="2666"/>
      <c r="D85" s="2739" t="str">
        <f t="shared" si="140"/>
        <v>全職種</v>
      </c>
      <c r="E85" s="2740"/>
      <c r="F85" s="2677"/>
      <c r="G85" s="2677"/>
      <c r="H85" s="2678"/>
      <c r="I85" s="890" t="str">
        <f t="shared" si="123"/>
        <v/>
      </c>
      <c r="J85" s="447" t="str">
        <f t="shared" si="146"/>
        <v/>
      </c>
      <c r="K85" s="801" t="s">
        <v>804</v>
      </c>
      <c r="L85" s="448" t="str">
        <f t="shared" si="141"/>
        <v/>
      </c>
      <c r="M85" s="449">
        <f t="shared" si="133"/>
        <v>0</v>
      </c>
      <c r="N85" s="2577"/>
      <c r="O85" s="2666"/>
      <c r="P85" s="136"/>
      <c r="Q85" s="494"/>
      <c r="R85" s="494"/>
      <c r="S85" s="494"/>
      <c r="T85" s="446" t="str">
        <f t="shared" si="143"/>
        <v>全職種</v>
      </c>
      <c r="U85" s="407">
        <f t="shared" si="136"/>
        <v>0</v>
      </c>
      <c r="V85" s="446">
        <v>2</v>
      </c>
      <c r="W85" s="446" t="b">
        <f t="shared" si="148"/>
        <v>1</v>
      </c>
      <c r="X85" s="439" t="b">
        <f t="shared" ca="1" si="125"/>
        <v>0</v>
      </c>
      <c r="Y85" s="440" t="b">
        <f>COUNTIF($AD$30:AD84,AD85)+COUNTIF(AD86:$AD$147,AD85)-COUNTIF(Z85:AC85,AD85)=0</f>
        <v>0</v>
      </c>
      <c r="Z85" s="976" t="s">
        <v>804</v>
      </c>
      <c r="AA85" s="976" t="s">
        <v>804</v>
      </c>
      <c r="AB85" s="976" t="s">
        <v>804</v>
      </c>
      <c r="AC85" s="976" t="s">
        <v>804</v>
      </c>
      <c r="AD85" s="972">
        <f t="shared" si="144"/>
        <v>0</v>
      </c>
      <c r="AE85" s="248" t="b">
        <f t="shared" si="116"/>
        <v>0</v>
      </c>
      <c r="AF85" s="783" t="b">
        <f t="shared" si="137"/>
        <v>0</v>
      </c>
      <c r="AG85" s="446" t="str">
        <f>IFERROR(VLOOKUP(F85,$AV$8:$AY$108,3,FALSE),"")</f>
        <v/>
      </c>
      <c r="AH85" s="473">
        <f t="shared" si="147"/>
        <v>0</v>
      </c>
      <c r="AI85" s="446">
        <v>2</v>
      </c>
      <c r="AJ85" s="248">
        <f t="shared" si="145"/>
        <v>2</v>
      </c>
      <c r="AK85" s="249">
        <f t="shared" si="119"/>
        <v>0</v>
      </c>
      <c r="AN85" s="510"/>
      <c r="AO85" s="510"/>
      <c r="AQ85" s="461"/>
      <c r="AR85" s="461"/>
      <c r="AS85" s="461"/>
      <c r="AT85" s="461"/>
      <c r="AU85" s="247">
        <f t="shared" si="122"/>
        <v>78</v>
      </c>
      <c r="AV85" s="1331" t="str">
        <f>AU85&amp;" "&amp;IF(AX85&lt;&gt;"-",'【様式2】職員名簿 '!B121&amp;"/"&amp;AW85&amp;"/"&amp;AX85,"")</f>
        <v xml:space="preserve">78 </v>
      </c>
      <c r="AW85" s="1331">
        <f>'【様式2】職員名簿 '!F121</f>
        <v>0</v>
      </c>
      <c r="AX85" s="1331" t="str">
        <f>IF('【様式2】職員名簿 '!K121="エラー","-",IF(AND('【様式2】職員名簿 '!C121=$AX$3,'【様式2】職員名簿 '!K121=$AX$4),$AX$3,'【様式2】職員名簿 '!K121))</f>
        <v>-</v>
      </c>
      <c r="AY85" s="783">
        <f>IF($AW85="常勤",$AN$2,IF($AW85="非常勤",'【様式2】職員名簿 '!H121,0))</f>
        <v>0</v>
      </c>
      <c r="AZ85" s="406">
        <f>IF($AX85=AZ$3,COUNTIF($AX$8:$AX85,AZ$3),0)</f>
        <v>0</v>
      </c>
      <c r="BA85" s="788" t="str">
        <f t="shared" si="92"/>
        <v/>
      </c>
      <c r="BB85" s="247">
        <f>IF(OR($AX85=BB$3,$AX85=BB$4),COUNTIF($AX$8:$AX85,BB$3)+COUNTIF($AX$8:$AX85,BB$4),0)</f>
        <v>0</v>
      </c>
      <c r="BC85" s="788" t="str">
        <f t="shared" si="93"/>
        <v/>
      </c>
      <c r="BD85" s="407">
        <f>IF(OR($AX85=$BD$4,$AX85=BD$3),COUNTIFS($AX$8:$AX85,BD$3,$AW$8:$AW85,BD$5)+COUNTIFS($AX$8:$AX85,BD$4,$AW$8:$AW85,BD$5),0)</f>
        <v>0</v>
      </c>
      <c r="BE85" s="788" t="str">
        <f t="shared" si="94"/>
        <v/>
      </c>
      <c r="BF85" s="248">
        <f>IF($AX85=BF$3,COUNTIF($AX$8:$AX85,BF$3),0)</f>
        <v>0</v>
      </c>
      <c r="BG85" s="788" t="str">
        <f t="shared" si="95"/>
        <v/>
      </c>
      <c r="BH85" s="247">
        <f>IF(OR($AX85=BH$3,$AX85=BH$4),COUNTIF($AX$8:$AX85,BH$3)+COUNTIF($AX$8:$AX85,BH$4),0)</f>
        <v>0</v>
      </c>
      <c r="BI85" s="788" t="str">
        <f t="shared" si="96"/>
        <v/>
      </c>
      <c r="BJ85" s="247">
        <f>IF($AX85=BJ$4,COUNTIFS($AW$8:$AW85,BJ$3,$AX$8:$AX85,BJ$4),0)</f>
        <v>0</v>
      </c>
      <c r="BK85" s="788" t="str">
        <f t="shared" si="97"/>
        <v/>
      </c>
      <c r="BL85" s="247">
        <f>IF($AX85=BL$3,COUNTIF($AX$8:$AX85,BL$3),0)</f>
        <v>0</v>
      </c>
      <c r="BM85" s="788" t="str">
        <f t="shared" si="98"/>
        <v/>
      </c>
      <c r="BN85" s="247">
        <f>IF($AX85=BN$3,COUNTIF($AX$8:$AX85,BN$3),0)</f>
        <v>0</v>
      </c>
      <c r="BO85" s="788" t="str">
        <f t="shared" si="99"/>
        <v/>
      </c>
      <c r="BP85" s="247">
        <f>IF($AX85&lt;&gt;BP$3,COUNTIF($AX$8:$AX85,"&lt;&gt;"&amp;BP$3),0)</f>
        <v>0</v>
      </c>
      <c r="BQ85" s="788" t="str">
        <f t="shared" si="100"/>
        <v/>
      </c>
      <c r="BR85" s="247">
        <f>IF($AX85=BR$3,COUNTIF($AX$8:$AX85,BR$3),0)</f>
        <v>0</v>
      </c>
      <c r="BS85" s="788" t="str">
        <f t="shared" si="101"/>
        <v/>
      </c>
      <c r="BT85" s="312"/>
      <c r="BU85" s="312"/>
    </row>
    <row r="86" spans="1:73" ht="15" customHeight="1" thickBot="1">
      <c r="A86" s="3008"/>
      <c r="B86" s="3010"/>
      <c r="C86" s="2668"/>
      <c r="D86" s="2795" t="str">
        <f t="shared" si="140"/>
        <v>全職種</v>
      </c>
      <c r="E86" s="2796"/>
      <c r="F86" s="2797"/>
      <c r="G86" s="2797"/>
      <c r="H86" s="2798"/>
      <c r="I86" s="898" t="str">
        <f t="shared" si="123"/>
        <v/>
      </c>
      <c r="J86" s="495" t="str">
        <f t="shared" si="124"/>
        <v/>
      </c>
      <c r="K86" s="916" t="s">
        <v>804</v>
      </c>
      <c r="L86" s="496" t="str">
        <f t="shared" si="141"/>
        <v/>
      </c>
      <c r="M86" s="497">
        <f t="shared" si="133"/>
        <v>0</v>
      </c>
      <c r="N86" s="2667"/>
      <c r="O86" s="2668"/>
      <c r="P86" s="136"/>
      <c r="Q86" s="494"/>
      <c r="R86" s="494"/>
      <c r="S86" s="494"/>
      <c r="T86" s="446" t="str">
        <f t="shared" si="143"/>
        <v>全職種</v>
      </c>
      <c r="U86" s="407">
        <f t="shared" si="136"/>
        <v>0</v>
      </c>
      <c r="V86" s="446">
        <v>2</v>
      </c>
      <c r="W86" s="446" t="b">
        <f t="shared" si="148"/>
        <v>1</v>
      </c>
      <c r="X86" s="439" t="b">
        <f t="shared" ca="1" si="125"/>
        <v>0</v>
      </c>
      <c r="Y86" s="440" t="b">
        <f>COUNTIF($AD$30:AD85,AD86)+COUNTIF(AD87:$AD$147,AD86)-COUNTIF(Z86:AC86,AD86)=0</f>
        <v>0</v>
      </c>
      <c r="Z86" s="976" t="s">
        <v>804</v>
      </c>
      <c r="AA86" s="976" t="s">
        <v>804</v>
      </c>
      <c r="AB86" s="976" t="s">
        <v>804</v>
      </c>
      <c r="AC86" s="976" t="s">
        <v>804</v>
      </c>
      <c r="AD86" s="972">
        <f t="shared" si="144"/>
        <v>0</v>
      </c>
      <c r="AE86" s="248" t="b">
        <f t="shared" si="116"/>
        <v>0</v>
      </c>
      <c r="AF86" s="783" t="b">
        <f t="shared" si="137"/>
        <v>0</v>
      </c>
      <c r="AG86" s="446" t="str">
        <f>IFERROR(VLOOKUP(F86,$AV$8:$AY$108,3,FALSE),"")</f>
        <v/>
      </c>
      <c r="AH86" s="473">
        <f t="shared" si="147"/>
        <v>0</v>
      </c>
      <c r="AI86" s="446">
        <v>2</v>
      </c>
      <c r="AJ86" s="248">
        <f t="shared" si="145"/>
        <v>2</v>
      </c>
      <c r="AK86" s="249">
        <f t="shared" si="119"/>
        <v>0</v>
      </c>
      <c r="AO86" s="510"/>
      <c r="AQ86" s="461"/>
      <c r="AR86" s="461"/>
      <c r="AS86" s="461"/>
      <c r="AT86" s="461"/>
      <c r="AU86" s="247">
        <f t="shared" si="122"/>
        <v>79</v>
      </c>
      <c r="AV86" s="1331" t="str">
        <f>AU86&amp;" "&amp;IF(AX86&lt;&gt;"-",'【様式2】職員名簿 '!B122&amp;"/"&amp;AW86&amp;"/"&amp;AX86,"")</f>
        <v xml:space="preserve">79 </v>
      </c>
      <c r="AW86" s="1331">
        <f>'【様式2】職員名簿 '!F122</f>
        <v>0</v>
      </c>
      <c r="AX86" s="1331" t="str">
        <f>IF('【様式2】職員名簿 '!K122="エラー","-",IF(AND('【様式2】職員名簿 '!C122=$AX$3,'【様式2】職員名簿 '!K122=$AX$4),$AX$3,'【様式2】職員名簿 '!K122))</f>
        <v>-</v>
      </c>
      <c r="AY86" s="783">
        <f>IF($AW86="常勤",$AN$2,IF($AW86="非常勤",'【様式2】職員名簿 '!H122,0))</f>
        <v>0</v>
      </c>
      <c r="AZ86" s="406">
        <f>IF($AX86=AZ$3,COUNTIF($AX$8:$AX86,AZ$3),0)</f>
        <v>0</v>
      </c>
      <c r="BA86" s="788" t="str">
        <f t="shared" si="92"/>
        <v/>
      </c>
      <c r="BB86" s="247">
        <f>IF(OR($AX86=BB$3,$AX86=BB$4),COUNTIF($AX$8:$AX86,BB$3)+COUNTIF($AX$8:$AX86,BB$4),0)</f>
        <v>0</v>
      </c>
      <c r="BC86" s="788" t="str">
        <f t="shared" si="93"/>
        <v/>
      </c>
      <c r="BD86" s="407">
        <f>IF(OR($AX86=$BD$4,$AX86=BD$3),COUNTIFS($AX$8:$AX86,BD$3,$AW$8:$AW86,BD$5)+COUNTIFS($AX$8:$AX86,BD$4,$AW$8:$AW86,BD$5),0)</f>
        <v>0</v>
      </c>
      <c r="BE86" s="788" t="str">
        <f t="shared" si="94"/>
        <v/>
      </c>
      <c r="BF86" s="248">
        <f>IF($AX86=BF$3,COUNTIF($AX$8:$AX86,BF$3),0)</f>
        <v>0</v>
      </c>
      <c r="BG86" s="788" t="str">
        <f t="shared" si="95"/>
        <v/>
      </c>
      <c r="BH86" s="247">
        <f>IF(OR($AX86=BH$3,$AX86=BH$4),COUNTIF($AX$8:$AX86,BH$3)+COUNTIF($AX$8:$AX86,BH$4),0)</f>
        <v>0</v>
      </c>
      <c r="BI86" s="788" t="str">
        <f t="shared" si="96"/>
        <v/>
      </c>
      <c r="BJ86" s="247">
        <f>IF($AX86=BJ$4,COUNTIFS($AW$8:$AW86,BJ$3,$AX$8:$AX86,BJ$4),0)</f>
        <v>0</v>
      </c>
      <c r="BK86" s="788" t="str">
        <f t="shared" si="97"/>
        <v/>
      </c>
      <c r="BL86" s="247">
        <f>IF($AX86=BL$3,COUNTIF($AX$8:$AX86,BL$3),0)</f>
        <v>0</v>
      </c>
      <c r="BM86" s="788" t="str">
        <f t="shared" si="98"/>
        <v/>
      </c>
      <c r="BN86" s="247">
        <f>IF($AX86=BN$3,COUNTIF($AX$8:$AX86,BN$3),0)</f>
        <v>0</v>
      </c>
      <c r="BO86" s="788" t="str">
        <f t="shared" si="99"/>
        <v/>
      </c>
      <c r="BP86" s="247">
        <f>IF($AX86&lt;&gt;BP$3,COUNTIF($AX$8:$AX86,"&lt;&gt;"&amp;BP$3),0)</f>
        <v>0</v>
      </c>
      <c r="BQ86" s="788" t="str">
        <f t="shared" si="100"/>
        <v/>
      </c>
      <c r="BR86" s="247">
        <f>IF($AX86=BR$3,COUNTIF($AX$8:$AX86,BR$3),0)</f>
        <v>0</v>
      </c>
      <c r="BS86" s="788" t="str">
        <f t="shared" si="101"/>
        <v/>
      </c>
      <c r="BT86" s="312"/>
      <c r="BU86" s="312"/>
    </row>
    <row r="87" spans="1:73" ht="15" customHeight="1">
      <c r="A87" s="2695" t="s">
        <v>103</v>
      </c>
      <c r="B87" s="2696"/>
      <c r="C87" s="2697"/>
      <c r="D87" s="2931" t="s">
        <v>1220</v>
      </c>
      <c r="E87" s="2932"/>
      <c r="F87" s="2932"/>
      <c r="G87" s="2932"/>
      <c r="H87" s="2932"/>
      <c r="I87" s="2932"/>
      <c r="J87" s="2932"/>
      <c r="K87" s="2932"/>
      <c r="L87" s="2932"/>
      <c r="M87" s="2933"/>
      <c r="N87" s="2780" t="s">
        <v>843</v>
      </c>
      <c r="O87" s="2781"/>
      <c r="P87" s="136"/>
      <c r="Q87" s="312"/>
      <c r="R87" s="312"/>
      <c r="S87" s="312"/>
      <c r="T87" s="498"/>
      <c r="U87" s="499"/>
      <c r="V87" s="498"/>
      <c r="W87" s="498"/>
      <c r="X87" s="500"/>
      <c r="Y87" s="501"/>
      <c r="Z87" s="498"/>
      <c r="AA87" s="498"/>
      <c r="AB87" s="498" t="s">
        <v>804</v>
      </c>
      <c r="AC87" s="498"/>
      <c r="AD87" s="502"/>
      <c r="AE87" s="500"/>
      <c r="AF87" s="501"/>
      <c r="AG87" s="498"/>
      <c r="AH87" s="498"/>
      <c r="AI87" s="503"/>
      <c r="AJ87" s="500"/>
      <c r="AK87" s="504"/>
      <c r="AQ87" s="461"/>
      <c r="AR87" s="461"/>
      <c r="AS87" s="461"/>
      <c r="AT87" s="461"/>
      <c r="AU87" s="247">
        <f t="shared" si="122"/>
        <v>80</v>
      </c>
      <c r="AV87" s="1331" t="str">
        <f>AU87&amp;" "&amp;IF(AX87&lt;&gt;"-",'【様式2】職員名簿 '!B123&amp;"/"&amp;AW87&amp;"/"&amp;AX87,"")</f>
        <v xml:space="preserve">80 </v>
      </c>
      <c r="AW87" s="1331">
        <f>'【様式2】職員名簿 '!F123</f>
        <v>0</v>
      </c>
      <c r="AX87" s="1331" t="str">
        <f>IF('【様式2】職員名簿 '!K123="エラー","-",IF(AND('【様式2】職員名簿 '!C123=$AX$3,'【様式2】職員名簿 '!K123=$AX$4),$AX$3,'【様式2】職員名簿 '!K123))</f>
        <v>-</v>
      </c>
      <c r="AY87" s="783">
        <f>IF($AW87="常勤",$AN$2,IF($AW87="非常勤",'【様式2】職員名簿 '!H123,0))</f>
        <v>0</v>
      </c>
      <c r="AZ87" s="406">
        <f>IF($AX87=AZ$3,COUNTIF($AX$8:$AX87,AZ$3),0)</f>
        <v>0</v>
      </c>
      <c r="BA87" s="788" t="str">
        <f t="shared" si="92"/>
        <v/>
      </c>
      <c r="BB87" s="247">
        <f>IF(OR($AX87=BB$3,$AX87=BB$4),COUNTIF($AX$8:$AX87,BB$3)+COUNTIF($AX$8:$AX87,BB$4),0)</f>
        <v>0</v>
      </c>
      <c r="BC87" s="788" t="str">
        <f t="shared" si="93"/>
        <v/>
      </c>
      <c r="BD87" s="407">
        <f>IF(OR($AX87=$BD$4,$AX87=BD$3),COUNTIFS($AX$8:$AX87,BD$3,$AW$8:$AW87,BD$5)+COUNTIFS($AX$8:$AX87,BD$4,$AW$8:$AW87,BD$5),0)</f>
        <v>0</v>
      </c>
      <c r="BE87" s="788" t="str">
        <f t="shared" si="94"/>
        <v/>
      </c>
      <c r="BF87" s="248">
        <f>IF($AX87=BF$3,COUNTIF($AX$8:$AX87,BF$3),0)</f>
        <v>0</v>
      </c>
      <c r="BG87" s="788" t="str">
        <f t="shared" si="95"/>
        <v/>
      </c>
      <c r="BH87" s="247">
        <f>IF(OR($AX87=BH$3,$AX87=BH$4),COUNTIF($AX$8:$AX87,BH$3)+COUNTIF($AX$8:$AX87,BH$4),0)</f>
        <v>0</v>
      </c>
      <c r="BI87" s="788" t="str">
        <f t="shared" si="96"/>
        <v/>
      </c>
      <c r="BJ87" s="247">
        <f>IF($AX87=BJ$4,COUNTIFS($AW$8:$AW87,BJ$3,$AX$8:$AX87,BJ$4),0)</f>
        <v>0</v>
      </c>
      <c r="BK87" s="788" t="str">
        <f t="shared" si="97"/>
        <v/>
      </c>
      <c r="BL87" s="247">
        <f>IF($AX87=BL$3,COUNTIF($AX$8:$AX87,BL$3),0)</f>
        <v>0</v>
      </c>
      <c r="BM87" s="788" t="str">
        <f t="shared" si="98"/>
        <v/>
      </c>
      <c r="BN87" s="247">
        <f>IF($AX87=BN$3,COUNTIF($AX$8:$AX87,BN$3),0)</f>
        <v>0</v>
      </c>
      <c r="BO87" s="788" t="str">
        <f t="shared" si="99"/>
        <v/>
      </c>
      <c r="BP87" s="247">
        <f>IF($AX87&lt;&gt;BP$3,COUNTIF($AX$8:$AX87,"&lt;&gt;"&amp;BP$3),0)</f>
        <v>0</v>
      </c>
      <c r="BQ87" s="788" t="str">
        <f t="shared" si="100"/>
        <v/>
      </c>
      <c r="BR87" s="247">
        <f>IF($AX87=BR$3,COUNTIF($AX$8:$AX87,BR$3),0)</f>
        <v>0</v>
      </c>
      <c r="BS87" s="788" t="str">
        <f t="shared" si="101"/>
        <v/>
      </c>
      <c r="BT87" s="312"/>
      <c r="BU87" s="312"/>
    </row>
    <row r="88" spans="1:73" ht="15" customHeight="1">
      <c r="A88" s="3003" t="s">
        <v>1221</v>
      </c>
      <c r="B88" s="3004"/>
      <c r="C88" s="3005"/>
      <c r="D88" s="2786" t="s">
        <v>779</v>
      </c>
      <c r="E88" s="2787"/>
      <c r="F88" s="2803" t="s">
        <v>1216</v>
      </c>
      <c r="G88" s="2804"/>
      <c r="H88" s="2804"/>
      <c r="I88" s="2804"/>
      <c r="J88" s="2804"/>
      <c r="K88" s="2804"/>
      <c r="L88" s="2899" t="s">
        <v>818</v>
      </c>
      <c r="M88" s="2900"/>
      <c r="N88" s="2782"/>
      <c r="O88" s="2783"/>
      <c r="P88" s="136"/>
      <c r="Q88" s="312"/>
      <c r="R88" s="312"/>
      <c r="S88" s="312"/>
      <c r="T88" s="498"/>
      <c r="U88" s="499"/>
      <c r="V88" s="498"/>
      <c r="W88" s="498"/>
      <c r="X88" s="500"/>
      <c r="Y88" s="501"/>
      <c r="Z88" s="498"/>
      <c r="AA88" s="498"/>
      <c r="AB88" s="498" t="s">
        <v>804</v>
      </c>
      <c r="AC88" s="498"/>
      <c r="AD88" s="502"/>
      <c r="AE88" s="500"/>
      <c r="AF88" s="501"/>
      <c r="AG88" s="498"/>
      <c r="AH88" s="498"/>
      <c r="AI88" s="503"/>
      <c r="AJ88" s="500"/>
      <c r="AK88" s="504"/>
      <c r="AQ88" s="461"/>
      <c r="AR88" s="461"/>
      <c r="AS88" s="461"/>
      <c r="AT88" s="461"/>
      <c r="AU88" s="247">
        <f t="shared" si="122"/>
        <v>81</v>
      </c>
      <c r="AV88" s="1331" t="str">
        <f>AU88&amp;" "&amp;IF(AX88&lt;&gt;"-",'【様式2】職員名簿 '!B124&amp;"/"&amp;AW88&amp;"/"&amp;AX88,"")</f>
        <v xml:space="preserve">81 </v>
      </c>
      <c r="AW88" s="1331">
        <f>'【様式2】職員名簿 '!F124</f>
        <v>0</v>
      </c>
      <c r="AX88" s="1331" t="str">
        <f>IF('【様式2】職員名簿 '!K124="エラー","-",IF(AND('【様式2】職員名簿 '!C124=$AX$3,'【様式2】職員名簿 '!K124=$AX$4),$AX$3,'【様式2】職員名簿 '!K124))</f>
        <v>-</v>
      </c>
      <c r="AY88" s="783">
        <f>IF($AW88="常勤",$AN$2,IF($AW88="非常勤",'【様式2】職員名簿 '!H124,0))</f>
        <v>0</v>
      </c>
      <c r="AZ88" s="406">
        <f>IF($AX88=AZ$3,COUNTIF($AX$8:$AX88,AZ$3),0)</f>
        <v>0</v>
      </c>
      <c r="BA88" s="788" t="str">
        <f t="shared" si="92"/>
        <v/>
      </c>
      <c r="BB88" s="247">
        <f>IF(OR($AX88=BB$3,$AX88=BB$4),COUNTIF($AX$8:$AX88,BB$3)+COUNTIF($AX$8:$AX88,BB$4),0)</f>
        <v>0</v>
      </c>
      <c r="BC88" s="788" t="str">
        <f t="shared" si="93"/>
        <v/>
      </c>
      <c r="BD88" s="407">
        <f>IF(OR($AX88=$BD$4,$AX88=BD$3),COUNTIFS($AX$8:$AX88,BD$3,$AW$8:$AW88,BD$5)+COUNTIFS($AX$8:$AX88,BD$4,$AW$8:$AW88,BD$5),0)</f>
        <v>0</v>
      </c>
      <c r="BE88" s="788" t="str">
        <f t="shared" si="94"/>
        <v/>
      </c>
      <c r="BF88" s="248">
        <f>IF($AX88=BF$3,COUNTIF($AX$8:$AX88,BF$3),0)</f>
        <v>0</v>
      </c>
      <c r="BG88" s="788" t="str">
        <f t="shared" si="95"/>
        <v/>
      </c>
      <c r="BH88" s="247">
        <f>IF(OR($AX88=BH$3,$AX88=BH$4),COUNTIF($AX$8:$AX88,BH$3)+COUNTIF($AX$8:$AX88,BH$4),0)</f>
        <v>0</v>
      </c>
      <c r="BI88" s="788" t="str">
        <f t="shared" si="96"/>
        <v/>
      </c>
      <c r="BJ88" s="247">
        <f>IF($AX88=BJ$4,COUNTIFS($AW$8:$AW88,BJ$3,$AX$8:$AX88,BJ$4),0)</f>
        <v>0</v>
      </c>
      <c r="BK88" s="788" t="str">
        <f t="shared" si="97"/>
        <v/>
      </c>
      <c r="BL88" s="247">
        <f>IF($AX88=BL$3,COUNTIF($AX$8:$AX88,BL$3),0)</f>
        <v>0</v>
      </c>
      <c r="BM88" s="788" t="str">
        <f t="shared" si="98"/>
        <v/>
      </c>
      <c r="BN88" s="247">
        <f>IF($AX88=BN$3,COUNTIF($AX$8:$AX88,BN$3),0)</f>
        <v>0</v>
      </c>
      <c r="BO88" s="788" t="str">
        <f t="shared" si="99"/>
        <v/>
      </c>
      <c r="BP88" s="247">
        <f>IF($AX88&lt;&gt;BP$3,COUNTIF($AX$8:$AX88,"&lt;&gt;"&amp;BP$3),0)</f>
        <v>0</v>
      </c>
      <c r="BQ88" s="788" t="str">
        <f t="shared" si="100"/>
        <v/>
      </c>
      <c r="BR88" s="247">
        <f>IF($AX88=BR$3,COUNTIF($AX$8:$AX88,BR$3),0)</f>
        <v>0</v>
      </c>
      <c r="BS88" s="788" t="str">
        <f t="shared" si="101"/>
        <v/>
      </c>
      <c r="BT88" s="312"/>
      <c r="BU88" s="312"/>
    </row>
    <row r="89" spans="1:73" ht="15" customHeight="1" thickBot="1">
      <c r="A89" s="3006"/>
      <c r="B89" s="3007"/>
      <c r="C89" s="2921"/>
      <c r="D89" s="2788"/>
      <c r="E89" s="2789"/>
      <c r="F89" s="2790" t="s">
        <v>825</v>
      </c>
      <c r="G89" s="2790"/>
      <c r="H89" s="2790"/>
      <c r="I89" s="522" t="s">
        <v>1217</v>
      </c>
      <c r="J89" s="984" t="s">
        <v>1218</v>
      </c>
      <c r="K89" s="917" t="s">
        <v>1219</v>
      </c>
      <c r="L89" s="3013"/>
      <c r="M89" s="3014"/>
      <c r="N89" s="2784"/>
      <c r="O89" s="2785"/>
      <c r="P89" s="136"/>
      <c r="Q89" s="312"/>
      <c r="R89" s="312"/>
      <c r="S89" s="312"/>
      <c r="T89" s="498"/>
      <c r="U89" s="499"/>
      <c r="V89" s="498"/>
      <c r="W89" s="498"/>
      <c r="X89" s="500"/>
      <c r="Y89" s="501"/>
      <c r="Z89" s="498"/>
      <c r="AA89" s="498"/>
      <c r="AB89" s="498" t="s">
        <v>804</v>
      </c>
      <c r="AC89" s="498"/>
      <c r="AD89" s="502"/>
      <c r="AE89" s="500"/>
      <c r="AF89" s="501"/>
      <c r="AG89" s="498"/>
      <c r="AH89" s="498"/>
      <c r="AI89" s="503"/>
      <c r="AJ89" s="500"/>
      <c r="AK89" s="504"/>
      <c r="AQ89" s="461"/>
      <c r="AR89" s="461"/>
      <c r="AS89" s="461"/>
      <c r="AT89" s="461"/>
      <c r="AU89" s="247">
        <f t="shared" si="122"/>
        <v>82</v>
      </c>
      <c r="AV89" s="1331" t="str">
        <f>AU89&amp;" "&amp;IF(AX89&lt;&gt;"-",'【様式2】職員名簿 '!B125&amp;"/"&amp;AW89&amp;"/"&amp;AX89,"")</f>
        <v xml:space="preserve">82 </v>
      </c>
      <c r="AW89" s="1331">
        <f>'【様式2】職員名簿 '!F125</f>
        <v>0</v>
      </c>
      <c r="AX89" s="1331" t="str">
        <f>IF('【様式2】職員名簿 '!K125="エラー","-",IF(AND('【様式2】職員名簿 '!C125=$AX$3,'【様式2】職員名簿 '!K125=$AX$4),$AX$3,'【様式2】職員名簿 '!K125))</f>
        <v>-</v>
      </c>
      <c r="AY89" s="783">
        <f>IF($AW89="常勤",$AN$2,IF($AW89="非常勤",'【様式2】職員名簿 '!H125,0))</f>
        <v>0</v>
      </c>
      <c r="AZ89" s="406">
        <f>IF($AX89=AZ$3,COUNTIF($AX$8:$AX89,AZ$3),0)</f>
        <v>0</v>
      </c>
      <c r="BA89" s="788" t="str">
        <f t="shared" si="92"/>
        <v/>
      </c>
      <c r="BB89" s="247">
        <f>IF(OR($AX89=BB$3,$AX89=BB$4),COUNTIF($AX$8:$AX89,BB$3)+COUNTIF($AX$8:$AX89,BB$4),0)</f>
        <v>0</v>
      </c>
      <c r="BC89" s="788" t="str">
        <f t="shared" si="93"/>
        <v/>
      </c>
      <c r="BD89" s="407">
        <f>IF(OR($AX89=$BD$4,$AX89=BD$3),COUNTIFS($AX$8:$AX89,BD$3,$AW$8:$AW89,BD$5)+COUNTIFS($AX$8:$AX89,BD$4,$AW$8:$AW89,BD$5),0)</f>
        <v>0</v>
      </c>
      <c r="BE89" s="788" t="str">
        <f t="shared" si="94"/>
        <v/>
      </c>
      <c r="BF89" s="248">
        <f>IF($AX89=BF$3,COUNTIF($AX$8:$AX89,BF$3),0)</f>
        <v>0</v>
      </c>
      <c r="BG89" s="788" t="str">
        <f t="shared" si="95"/>
        <v/>
      </c>
      <c r="BH89" s="247">
        <f>IF(OR($AX89=BH$3,$AX89=BH$4),COUNTIF($AX$8:$AX89,BH$3)+COUNTIF($AX$8:$AX89,BH$4),0)</f>
        <v>0</v>
      </c>
      <c r="BI89" s="788" t="str">
        <f t="shared" si="96"/>
        <v/>
      </c>
      <c r="BJ89" s="247">
        <f>IF($AX89=BJ$4,COUNTIFS($AW$8:$AW89,BJ$3,$AX$8:$AX89,BJ$4),0)</f>
        <v>0</v>
      </c>
      <c r="BK89" s="788" t="str">
        <f t="shared" si="97"/>
        <v/>
      </c>
      <c r="BL89" s="247">
        <f>IF($AX89=BL$3,COUNTIF($AX$8:$AX89,BL$3),0)</f>
        <v>0</v>
      </c>
      <c r="BM89" s="788" t="str">
        <f t="shared" si="98"/>
        <v/>
      </c>
      <c r="BN89" s="247">
        <f>IF($AX89=BN$3,COUNTIF($AX$8:$AX89,BN$3),0)</f>
        <v>0</v>
      </c>
      <c r="BO89" s="788" t="str">
        <f t="shared" si="99"/>
        <v/>
      </c>
      <c r="BP89" s="247">
        <f>IF($AX89&lt;&gt;BP$3,COUNTIF($AX$8:$AX89,"&lt;&gt;"&amp;BP$3),0)</f>
        <v>0</v>
      </c>
      <c r="BQ89" s="788" t="str">
        <f t="shared" si="100"/>
        <v/>
      </c>
      <c r="BR89" s="247">
        <f>IF($AX89=BR$3,COUNTIF($AX$8:$AX89,BR$3),0)</f>
        <v>0</v>
      </c>
      <c r="BS89" s="788" t="str">
        <f t="shared" si="101"/>
        <v/>
      </c>
      <c r="BT89" s="312"/>
      <c r="BU89" s="312"/>
    </row>
    <row r="90" spans="1:73" ht="15" customHeight="1">
      <c r="A90" s="2713" t="s">
        <v>1058</v>
      </c>
      <c r="B90" s="2714" t="s">
        <v>1245</v>
      </c>
      <c r="C90" s="2715"/>
      <c r="D90" s="2799" t="str">
        <f>T90</f>
        <v>保育教諭</v>
      </c>
      <c r="E90" s="2800"/>
      <c r="F90" s="2801"/>
      <c r="G90" s="2802"/>
      <c r="H90" s="2802"/>
      <c r="I90" s="899" t="str">
        <f t="shared" ref="I90:I146" si="149">IF(OR(NOT(W90),U90=0),"","【"&amp;U90&amp;"h】")</f>
        <v/>
      </c>
      <c r="J90" s="908" t="str">
        <f>IF(OR(F90=0,F90=""),"",IF(W90,IF(X90,IF(OR(Y90,V90=3),IF(AE90,IF(OR(AF90,V90=2,V90=3),"○","要常勤"),"時間無"),"重複"),"名簿無"),"対象外"))</f>
        <v/>
      </c>
      <c r="K90" s="1268"/>
      <c r="L90" s="505" t="str">
        <f t="shared" ref="L90:L121" si="150">IF(AJ90=1,"調整①→",IF(AJ90=5,"調整②→",IF(AJ90=2,"",IF(AJ90=3,"全計上→","エラー"))))</f>
        <v/>
      </c>
      <c r="M90" s="506">
        <f t="shared" ref="M90:M146" si="151">IF(OR(AND(J90&lt;&gt;"",J90&lt;&gt;"○"),AJ90=4),"×",IF(J90="",0,AK90/$AN$2))</f>
        <v>0</v>
      </c>
      <c r="N90" s="2724">
        <f>SUM(M90:M97)</f>
        <v>0</v>
      </c>
      <c r="O90" s="2725"/>
      <c r="P90" s="136"/>
      <c r="Q90" s="312"/>
      <c r="R90" s="312"/>
      <c r="S90" s="312"/>
      <c r="T90" s="446" t="str">
        <f t="shared" ref="T90:T97" si="152">$BC$6</f>
        <v>保育教諭</v>
      </c>
      <c r="U90" s="988">
        <f t="shared" ref="U90:U121" si="153">IFERROR(VLOOKUP($F90,$AV$8:$AY$108,4,FALSE),0)</f>
        <v>0</v>
      </c>
      <c r="V90" s="976">
        <v>2</v>
      </c>
      <c r="W90" s="976" t="b">
        <f>ISTEXT(F90)</f>
        <v>0</v>
      </c>
      <c r="X90" s="439" t="b">
        <f t="shared" ref="X90:X146" ca="1" si="154">COUNTIF(INDIRECT(T90),F90)&gt;0</f>
        <v>0</v>
      </c>
      <c r="Y90" s="507" t="b">
        <f>COUNTIF($AD$30:AD89,AD90)+COUNTIF(AD91:$AD$147,AD90)-COUNTIF(Z90:AC90,AD90)=0</f>
        <v>0</v>
      </c>
      <c r="Z90" s="508" t="s">
        <v>804</v>
      </c>
      <c r="AA90" s="508" t="s">
        <v>804</v>
      </c>
      <c r="AB90" s="508" t="s">
        <v>804</v>
      </c>
      <c r="AC90" s="508" t="s">
        <v>804</v>
      </c>
      <c r="AD90" s="972">
        <f t="shared" ref="AD90:AD121" si="155">IF(V90=3,0,IFERROR(INDEX($AU$8:$AU$108,MATCH($F90,AV$8:AV$108,0),1),0))</f>
        <v>0</v>
      </c>
      <c r="AE90" s="439" t="b">
        <f t="shared" ref="AE90:AE146" si="156">U90&gt;0</f>
        <v>0</v>
      </c>
      <c r="AF90" s="440" t="b">
        <f t="shared" ref="AF90:AF121" si="157">IFERROR(VLOOKUP($F90,$AV$8:$AY$108,2,FALSE),"")="常勤"</f>
        <v>0</v>
      </c>
      <c r="AG90" s="976" t="str">
        <f t="shared" ref="AG90:AG121" si="158">IFERROR(VLOOKUP($F90,$AV$8:$AY$108,3,FALSE),"")</f>
        <v/>
      </c>
      <c r="AH90" s="508">
        <f t="shared" ref="AH90:AH146" si="159">M90</f>
        <v>0</v>
      </c>
      <c r="AI90" s="446">
        <v>2</v>
      </c>
      <c r="AJ90" s="248">
        <f t="shared" ref="AJ90:AJ121" si="160">IF(AND($W90,$J90="○"),IF($K90="-",IF($U90&lt;IF($AI90=5,$AM$4,$AM$3),$AI90,2),IF($K90=0,IF($U90&lt;IF($AI90=5,$AM$4,$AM$3),IF(OR($AI90=1,$AI90=5),$AI90,3),3),IF(K90&lt;IF($AI90=5,$AM$4,$AM$3),$AI90,IF($K90&gt;$U90,4,2)))),2)</f>
        <v>2</v>
      </c>
      <c r="AK90" s="249">
        <f t="shared" ref="AK90:AK146" si="161">IF(AJ90=1,$AM$3,IF(AJ90=5,$AM$4,IF(AJ90=2,IF(K90="-",U90,K90),IF(AJ90=3,U90,"×"))))</f>
        <v>0</v>
      </c>
      <c r="AP90" s="461"/>
      <c r="AQ90" s="461"/>
      <c r="AR90" s="461"/>
      <c r="AS90" s="461"/>
      <c r="AT90" s="461"/>
      <c r="AU90" s="247">
        <f t="shared" si="122"/>
        <v>83</v>
      </c>
      <c r="AV90" s="1331" t="str">
        <f>AU90&amp;" "&amp;IF(AX90&lt;&gt;"-",'【様式2】職員名簿 '!B126&amp;"/"&amp;AW90&amp;"/"&amp;AX90,"")</f>
        <v xml:space="preserve">83 </v>
      </c>
      <c r="AW90" s="1331">
        <f>'【様式2】職員名簿 '!F126</f>
        <v>0</v>
      </c>
      <c r="AX90" s="1331" t="str">
        <f>IF('【様式2】職員名簿 '!K126="エラー","-",IF(AND('【様式2】職員名簿 '!C126=$AX$3,'【様式2】職員名簿 '!K126=$AX$4),$AX$3,'【様式2】職員名簿 '!K126))</f>
        <v>-</v>
      </c>
      <c r="AY90" s="783">
        <f>IF($AW90="常勤",$AN$2,IF($AW90="非常勤",'【様式2】職員名簿 '!H126,0))</f>
        <v>0</v>
      </c>
      <c r="AZ90" s="406">
        <f>IF($AX90=AZ$3,COUNTIF($AX$8:$AX90,AZ$3),0)</f>
        <v>0</v>
      </c>
      <c r="BA90" s="788" t="str">
        <f t="shared" si="92"/>
        <v/>
      </c>
      <c r="BB90" s="247">
        <f>IF(OR($AX90=BB$3,$AX90=BB$4),COUNTIF($AX$8:$AX90,BB$3)+COUNTIF($AX$8:$AX90,BB$4),0)</f>
        <v>0</v>
      </c>
      <c r="BC90" s="788" t="str">
        <f t="shared" si="93"/>
        <v/>
      </c>
      <c r="BD90" s="407">
        <f>IF(OR($AX90=$BD$4,$AX90=BD$3),COUNTIFS($AX$8:$AX90,BD$3,$AW$8:$AW90,BD$5)+COUNTIFS($AX$8:$AX90,BD$4,$AW$8:$AW90,BD$5),0)</f>
        <v>0</v>
      </c>
      <c r="BE90" s="788" t="str">
        <f t="shared" si="94"/>
        <v/>
      </c>
      <c r="BF90" s="248">
        <f>IF($AX90=BF$3,COUNTIF($AX$8:$AX90,BF$3),0)</f>
        <v>0</v>
      </c>
      <c r="BG90" s="788" t="str">
        <f t="shared" si="95"/>
        <v/>
      </c>
      <c r="BH90" s="247">
        <f>IF(OR($AX90=BH$3,$AX90=BH$4),COUNTIF($AX$8:$AX90,BH$3)+COUNTIF($AX$8:$AX90,BH$4),0)</f>
        <v>0</v>
      </c>
      <c r="BI90" s="788" t="str">
        <f t="shared" si="96"/>
        <v/>
      </c>
      <c r="BJ90" s="247">
        <f>IF($AX90=BJ$4,COUNTIFS($AW$8:$AW90,BJ$3,$AX$8:$AX90,BJ$4),0)</f>
        <v>0</v>
      </c>
      <c r="BK90" s="788" t="str">
        <f t="shared" si="97"/>
        <v/>
      </c>
      <c r="BL90" s="247">
        <f>IF($AX90=BL$3,COUNTIF($AX$8:$AX90,BL$3),0)</f>
        <v>0</v>
      </c>
      <c r="BM90" s="788" t="str">
        <f t="shared" si="98"/>
        <v/>
      </c>
      <c r="BN90" s="247">
        <f>IF($AX90=BN$3,COUNTIF($AX$8:$AX90,BN$3),0)</f>
        <v>0</v>
      </c>
      <c r="BO90" s="788" t="str">
        <f t="shared" si="99"/>
        <v/>
      </c>
      <c r="BP90" s="247">
        <f>IF($AX90&lt;&gt;BP$3,COUNTIF($AX$8:$AX90,"&lt;&gt;"&amp;BP$3),0)</f>
        <v>0</v>
      </c>
      <c r="BQ90" s="788" t="str">
        <f t="shared" si="100"/>
        <v/>
      </c>
      <c r="BR90" s="247">
        <f>IF($AX90=BR$3,COUNTIF($AX$8:$AX90,BR$3),0)</f>
        <v>0</v>
      </c>
      <c r="BS90" s="788" t="str">
        <f t="shared" si="101"/>
        <v/>
      </c>
      <c r="BT90" s="312"/>
      <c r="BU90" s="312"/>
    </row>
    <row r="91" spans="1:73" ht="15" customHeight="1">
      <c r="A91" s="1586"/>
      <c r="B91" s="2716"/>
      <c r="C91" s="2717"/>
      <c r="D91" s="2739" t="str">
        <f t="shared" ref="D91:D145" si="162">T91</f>
        <v>保育教諭</v>
      </c>
      <c r="E91" s="2740"/>
      <c r="F91" s="2678"/>
      <c r="G91" s="2741"/>
      <c r="H91" s="2741"/>
      <c r="I91" s="890" t="str">
        <f t="shared" si="149"/>
        <v/>
      </c>
      <c r="J91" s="447" t="str">
        <f t="shared" ref="J91:J145" si="163">IF(OR(F91=0,F91=""),"",IF(W91,IF(X91,IF(OR(Y91,V91=3),IF(AE91,IF(OR(AF91,V91=2,V91=3),"○","要常勤"),"時間無"),"重複"),"名簿無"),"対象外"))</f>
        <v/>
      </c>
      <c r="K91" s="1269"/>
      <c r="L91" s="509" t="str">
        <f t="shared" si="150"/>
        <v/>
      </c>
      <c r="M91" s="483">
        <f t="shared" si="151"/>
        <v>0</v>
      </c>
      <c r="N91" s="2706"/>
      <c r="O91" s="2707"/>
      <c r="P91" s="136"/>
      <c r="Q91" s="312"/>
      <c r="R91" s="312"/>
      <c r="S91" s="312"/>
      <c r="T91" s="446" t="str">
        <f t="shared" si="152"/>
        <v>保育教諭</v>
      </c>
      <c r="U91" s="988">
        <f t="shared" si="153"/>
        <v>0</v>
      </c>
      <c r="V91" s="976">
        <v>2</v>
      </c>
      <c r="W91" s="976" t="b">
        <f>ISTEXT(F91)</f>
        <v>0</v>
      </c>
      <c r="X91" s="439" t="b">
        <f ca="1">COUNTIF(INDIRECT(T91),F91)&gt;0</f>
        <v>0</v>
      </c>
      <c r="Y91" s="507" t="b">
        <f>COUNTIF($AD$30:AD90,AD91)+COUNTIF(AD92:$AD$147,AD91)-COUNTIF(Z91:AC91,AD91)=0</f>
        <v>0</v>
      </c>
      <c r="Z91" s="508" t="s">
        <v>804</v>
      </c>
      <c r="AA91" s="508" t="s">
        <v>804</v>
      </c>
      <c r="AB91" s="508" t="s">
        <v>804</v>
      </c>
      <c r="AC91" s="508" t="s">
        <v>804</v>
      </c>
      <c r="AD91" s="972">
        <f t="shared" si="155"/>
        <v>0</v>
      </c>
      <c r="AE91" s="439" t="b">
        <f t="shared" si="156"/>
        <v>0</v>
      </c>
      <c r="AF91" s="440" t="b">
        <f t="shared" si="157"/>
        <v>0</v>
      </c>
      <c r="AG91" s="976" t="str">
        <f t="shared" si="158"/>
        <v/>
      </c>
      <c r="AH91" s="508">
        <f t="shared" si="159"/>
        <v>0</v>
      </c>
      <c r="AI91" s="446">
        <v>2</v>
      </c>
      <c r="AJ91" s="248">
        <f t="shared" si="160"/>
        <v>2</v>
      </c>
      <c r="AK91" s="249">
        <f t="shared" si="161"/>
        <v>0</v>
      </c>
      <c r="AP91" s="461"/>
      <c r="AQ91" s="461"/>
      <c r="AU91" s="247">
        <f t="shared" si="122"/>
        <v>84</v>
      </c>
      <c r="AV91" s="1331" t="str">
        <f>AU91&amp;" "&amp;IF(AX91&lt;&gt;"-",'【様式2】職員名簿 '!B127&amp;"/"&amp;AW91&amp;"/"&amp;AX91,"")</f>
        <v xml:space="preserve">84 </v>
      </c>
      <c r="AW91" s="1331">
        <f>'【様式2】職員名簿 '!F127</f>
        <v>0</v>
      </c>
      <c r="AX91" s="1331" t="str">
        <f>IF('【様式2】職員名簿 '!K127="エラー","-",IF(AND('【様式2】職員名簿 '!C127=$AX$3,'【様式2】職員名簿 '!K127=$AX$4),$AX$3,'【様式2】職員名簿 '!K127))</f>
        <v>-</v>
      </c>
      <c r="AY91" s="783">
        <f>IF($AW91="常勤",$AN$2,IF($AW91="非常勤",'【様式2】職員名簿 '!H127,0))</f>
        <v>0</v>
      </c>
      <c r="AZ91" s="406">
        <f>IF($AX91=AZ$3,COUNTIF($AX$8:$AX91,AZ$3),0)</f>
        <v>0</v>
      </c>
      <c r="BA91" s="788" t="str">
        <f t="shared" si="92"/>
        <v/>
      </c>
      <c r="BB91" s="247">
        <f>IF(OR($AX91=BB$3,$AX91=BB$4),COUNTIF($AX$8:$AX91,BB$3)+COUNTIF($AX$8:$AX91,BB$4),0)</f>
        <v>0</v>
      </c>
      <c r="BC91" s="788" t="str">
        <f t="shared" si="93"/>
        <v/>
      </c>
      <c r="BD91" s="407">
        <f>IF(OR($AX91=$BD$4,$AX91=BD$3),COUNTIFS($AX$8:$AX91,BD$3,$AW$8:$AW91,BD$5)+COUNTIFS($AX$8:$AX91,BD$4,$AW$8:$AW91,BD$5),0)</f>
        <v>0</v>
      </c>
      <c r="BE91" s="788" t="str">
        <f t="shared" si="94"/>
        <v/>
      </c>
      <c r="BF91" s="248">
        <f>IF($AX91=BF$3,COUNTIF($AX$8:$AX91,BF$3),0)</f>
        <v>0</v>
      </c>
      <c r="BG91" s="788" t="str">
        <f t="shared" si="95"/>
        <v/>
      </c>
      <c r="BH91" s="247">
        <f>IF(OR($AX91=BH$3,$AX91=BH$4),COUNTIF($AX$8:$AX91,BH$3)+COUNTIF($AX$8:$AX91,BH$4),0)</f>
        <v>0</v>
      </c>
      <c r="BI91" s="788" t="str">
        <f t="shared" si="96"/>
        <v/>
      </c>
      <c r="BJ91" s="247">
        <f>IF($AX91=BJ$4,COUNTIFS($AW$8:$AW91,BJ$3,$AX$8:$AX91,BJ$4),0)</f>
        <v>0</v>
      </c>
      <c r="BK91" s="788" t="str">
        <f t="shared" si="97"/>
        <v/>
      </c>
      <c r="BL91" s="247">
        <f>IF($AX91=BL$3,COUNTIF($AX$8:$AX91,BL$3),0)</f>
        <v>0</v>
      </c>
      <c r="BM91" s="788" t="str">
        <f t="shared" si="98"/>
        <v/>
      </c>
      <c r="BN91" s="247">
        <f>IF($AX91=BN$3,COUNTIF($AX$8:$AX91,BN$3),0)</f>
        <v>0</v>
      </c>
      <c r="BO91" s="788" t="str">
        <f t="shared" si="99"/>
        <v/>
      </c>
      <c r="BP91" s="247">
        <f>IF($AX91&lt;&gt;BP$3,COUNTIF($AX$8:$AX91,"&lt;&gt;"&amp;BP$3),0)</f>
        <v>0</v>
      </c>
      <c r="BQ91" s="788" t="str">
        <f t="shared" si="100"/>
        <v/>
      </c>
      <c r="BR91" s="247">
        <f>IF($AX91=BR$3,COUNTIF($AX$8:$AX91,BR$3),0)</f>
        <v>0</v>
      </c>
      <c r="BS91" s="788" t="str">
        <f t="shared" si="101"/>
        <v/>
      </c>
      <c r="BT91" s="312"/>
      <c r="BU91" s="312"/>
    </row>
    <row r="92" spans="1:73" ht="15" customHeight="1">
      <c r="A92" s="1586"/>
      <c r="B92" s="2716"/>
      <c r="C92" s="2717"/>
      <c r="D92" s="2739" t="str">
        <f t="shared" si="162"/>
        <v>保育教諭</v>
      </c>
      <c r="E92" s="2740"/>
      <c r="F92" s="2678"/>
      <c r="G92" s="2741"/>
      <c r="H92" s="2741"/>
      <c r="I92" s="890" t="str">
        <f t="shared" si="149"/>
        <v/>
      </c>
      <c r="J92" s="447" t="str">
        <f t="shared" si="163"/>
        <v/>
      </c>
      <c r="K92" s="1269"/>
      <c r="L92" s="509" t="str">
        <f t="shared" si="150"/>
        <v/>
      </c>
      <c r="M92" s="483">
        <f t="shared" si="151"/>
        <v>0</v>
      </c>
      <c r="N92" s="2706"/>
      <c r="O92" s="2707"/>
      <c r="P92" s="136"/>
      <c r="Q92" s="312"/>
      <c r="R92" s="312"/>
      <c r="S92" s="312"/>
      <c r="T92" s="446" t="str">
        <f t="shared" si="152"/>
        <v>保育教諭</v>
      </c>
      <c r="U92" s="988">
        <f t="shared" si="153"/>
        <v>0</v>
      </c>
      <c r="V92" s="976">
        <v>2</v>
      </c>
      <c r="W92" s="976" t="b">
        <f t="shared" ref="W92:W145" si="164">ISTEXT(F92)</f>
        <v>0</v>
      </c>
      <c r="X92" s="439" t="b">
        <f t="shared" ref="X92:X145" ca="1" si="165">COUNTIF(INDIRECT(T92),F92)&gt;0</f>
        <v>0</v>
      </c>
      <c r="Y92" s="507" t="b">
        <f>COUNTIF($AD$30:AD91,AD92)+COUNTIF(AD93:$AD$147,AD92)-COUNTIF(Z92:AC92,AD92)=0</f>
        <v>0</v>
      </c>
      <c r="Z92" s="508" t="s">
        <v>804</v>
      </c>
      <c r="AA92" s="508" t="s">
        <v>804</v>
      </c>
      <c r="AB92" s="508" t="s">
        <v>804</v>
      </c>
      <c r="AC92" s="508" t="s">
        <v>804</v>
      </c>
      <c r="AD92" s="972">
        <f t="shared" si="155"/>
        <v>0</v>
      </c>
      <c r="AE92" s="439" t="b">
        <f t="shared" si="156"/>
        <v>0</v>
      </c>
      <c r="AF92" s="440" t="b">
        <f t="shared" si="157"/>
        <v>0</v>
      </c>
      <c r="AG92" s="976" t="str">
        <f t="shared" si="158"/>
        <v/>
      </c>
      <c r="AH92" s="508">
        <f t="shared" si="159"/>
        <v>0</v>
      </c>
      <c r="AI92" s="446">
        <v>2</v>
      </c>
      <c r="AJ92" s="248">
        <f t="shared" si="160"/>
        <v>2</v>
      </c>
      <c r="AK92" s="249">
        <f t="shared" si="161"/>
        <v>0</v>
      </c>
      <c r="AP92" s="461"/>
      <c r="AQ92" s="461"/>
      <c r="AR92" s="461"/>
      <c r="AS92" s="461"/>
      <c r="AT92" s="461"/>
      <c r="AU92" s="247">
        <f t="shared" si="122"/>
        <v>85</v>
      </c>
      <c r="AV92" s="1331" t="str">
        <f>AU92&amp;" "&amp;IF(AX92&lt;&gt;"-",'【様式2】職員名簿 '!B128&amp;"/"&amp;AW92&amp;"/"&amp;AX92,"")</f>
        <v xml:space="preserve">85 </v>
      </c>
      <c r="AW92" s="1331">
        <f>'【様式2】職員名簿 '!F128</f>
        <v>0</v>
      </c>
      <c r="AX92" s="1331" t="str">
        <f>IF('【様式2】職員名簿 '!K128="エラー","-",IF(AND('【様式2】職員名簿 '!C128=$AX$3,'【様式2】職員名簿 '!K128=$AX$4),$AX$3,'【様式2】職員名簿 '!K128))</f>
        <v>-</v>
      </c>
      <c r="AY92" s="783">
        <f>IF($AW92="常勤",$AN$2,IF($AW92="非常勤",'【様式2】職員名簿 '!H128,0))</f>
        <v>0</v>
      </c>
      <c r="AZ92" s="406">
        <f>IF($AX92=AZ$3,COUNTIF($AX$8:$AX92,AZ$3),0)</f>
        <v>0</v>
      </c>
      <c r="BA92" s="788" t="str">
        <f t="shared" si="92"/>
        <v/>
      </c>
      <c r="BB92" s="247">
        <f>IF(OR($AX92=BB$3,$AX92=BB$4),COUNTIF($AX$8:$AX92,BB$3)+COUNTIF($AX$8:$AX92,BB$4),0)</f>
        <v>0</v>
      </c>
      <c r="BC92" s="788" t="str">
        <f t="shared" si="93"/>
        <v/>
      </c>
      <c r="BD92" s="407">
        <f>IF(OR($AX92=$BD$4,$AX92=BD$3),COUNTIFS($AX$8:$AX92,BD$3,$AW$8:$AW92,BD$5)+COUNTIFS($AX$8:$AX92,BD$4,$AW$8:$AW92,BD$5),0)</f>
        <v>0</v>
      </c>
      <c r="BE92" s="788" t="str">
        <f t="shared" si="94"/>
        <v/>
      </c>
      <c r="BF92" s="248">
        <f>IF($AX92=BF$3,COUNTIF($AX$8:$AX92,BF$3),0)</f>
        <v>0</v>
      </c>
      <c r="BG92" s="788" t="str">
        <f t="shared" si="95"/>
        <v/>
      </c>
      <c r="BH92" s="247">
        <f>IF(OR($AX92=BH$3,$AX92=BH$4),COUNTIF($AX$8:$AX92,BH$3)+COUNTIF($AX$8:$AX92,BH$4),0)</f>
        <v>0</v>
      </c>
      <c r="BI92" s="788" t="str">
        <f t="shared" si="96"/>
        <v/>
      </c>
      <c r="BJ92" s="247">
        <f>IF($AX92=BJ$4,COUNTIFS($AW$8:$AW92,BJ$3,$AX$8:$AX92,BJ$4),0)</f>
        <v>0</v>
      </c>
      <c r="BK92" s="788" t="str">
        <f t="shared" si="97"/>
        <v/>
      </c>
      <c r="BL92" s="247">
        <f>IF($AX92=BL$3,COUNTIF($AX$8:$AX92,BL$3),0)</f>
        <v>0</v>
      </c>
      <c r="BM92" s="788" t="str">
        <f t="shared" si="98"/>
        <v/>
      </c>
      <c r="BN92" s="247">
        <f>IF($AX92=BN$3,COUNTIF($AX$8:$AX92,BN$3),0)</f>
        <v>0</v>
      </c>
      <c r="BO92" s="788" t="str">
        <f t="shared" si="99"/>
        <v/>
      </c>
      <c r="BP92" s="247">
        <f>IF($AX92&lt;&gt;BP$3,COUNTIF($AX$8:$AX92,"&lt;&gt;"&amp;BP$3),0)</f>
        <v>0</v>
      </c>
      <c r="BQ92" s="788" t="str">
        <f t="shared" si="100"/>
        <v/>
      </c>
      <c r="BR92" s="247">
        <f>IF($AX92=BR$3,COUNTIF($AX$8:$AX92,BR$3),0)</f>
        <v>0</v>
      </c>
      <c r="BS92" s="788" t="str">
        <f t="shared" si="101"/>
        <v/>
      </c>
      <c r="BT92" s="312"/>
      <c r="BU92" s="312"/>
    </row>
    <row r="93" spans="1:73" ht="15" customHeight="1">
      <c r="A93" s="1586"/>
      <c r="B93" s="2716"/>
      <c r="C93" s="2717"/>
      <c r="D93" s="2739" t="str">
        <f t="shared" si="162"/>
        <v>保育教諭</v>
      </c>
      <c r="E93" s="2740"/>
      <c r="F93" s="2678"/>
      <c r="G93" s="2741"/>
      <c r="H93" s="2741"/>
      <c r="I93" s="890" t="str">
        <f t="shared" si="149"/>
        <v/>
      </c>
      <c r="J93" s="447" t="str">
        <f t="shared" si="163"/>
        <v/>
      </c>
      <c r="K93" s="1269"/>
      <c r="L93" s="509" t="str">
        <f t="shared" si="150"/>
        <v/>
      </c>
      <c r="M93" s="483">
        <f t="shared" si="151"/>
        <v>0</v>
      </c>
      <c r="N93" s="2706"/>
      <c r="O93" s="2707"/>
      <c r="P93" s="136"/>
      <c r="Q93" s="312"/>
      <c r="R93" s="312"/>
      <c r="S93" s="312"/>
      <c r="T93" s="446" t="str">
        <f t="shared" si="152"/>
        <v>保育教諭</v>
      </c>
      <c r="U93" s="988">
        <f t="shared" si="153"/>
        <v>0</v>
      </c>
      <c r="V93" s="976">
        <v>2</v>
      </c>
      <c r="W93" s="976" t="b">
        <f t="shared" si="164"/>
        <v>0</v>
      </c>
      <c r="X93" s="439" t="b">
        <f t="shared" ca="1" si="165"/>
        <v>0</v>
      </c>
      <c r="Y93" s="507" t="b">
        <f>COUNTIF($AD$30:AD92,AD93)+COUNTIF(AD94:$AD$147,AD93)-COUNTIF(Z93:AC93,AD93)=0</f>
        <v>0</v>
      </c>
      <c r="Z93" s="508" t="s">
        <v>804</v>
      </c>
      <c r="AA93" s="508" t="s">
        <v>804</v>
      </c>
      <c r="AB93" s="508" t="s">
        <v>804</v>
      </c>
      <c r="AC93" s="508" t="s">
        <v>804</v>
      </c>
      <c r="AD93" s="972">
        <f t="shared" si="155"/>
        <v>0</v>
      </c>
      <c r="AE93" s="439" t="b">
        <f t="shared" si="156"/>
        <v>0</v>
      </c>
      <c r="AF93" s="440" t="b">
        <f t="shared" si="157"/>
        <v>0</v>
      </c>
      <c r="AG93" s="976" t="str">
        <f t="shared" si="158"/>
        <v/>
      </c>
      <c r="AH93" s="508">
        <f t="shared" si="159"/>
        <v>0</v>
      </c>
      <c r="AI93" s="446">
        <v>2</v>
      </c>
      <c r="AJ93" s="248">
        <f t="shared" si="160"/>
        <v>2</v>
      </c>
      <c r="AK93" s="249">
        <f t="shared" si="161"/>
        <v>0</v>
      </c>
      <c r="AP93" s="461"/>
      <c r="AQ93" s="461"/>
      <c r="AR93" s="461"/>
      <c r="AS93" s="461"/>
      <c r="AT93" s="461"/>
      <c r="AU93" s="247">
        <f t="shared" si="122"/>
        <v>86</v>
      </c>
      <c r="AV93" s="1331" t="str">
        <f>AU93&amp;" "&amp;IF(AX93&lt;&gt;"-",'【様式2】職員名簿 '!B129&amp;"/"&amp;AW93&amp;"/"&amp;AX93,"")</f>
        <v xml:space="preserve">86 </v>
      </c>
      <c r="AW93" s="1331">
        <f>'【様式2】職員名簿 '!F129</f>
        <v>0</v>
      </c>
      <c r="AX93" s="1331" t="str">
        <f>IF('【様式2】職員名簿 '!K129="エラー","-",IF(AND('【様式2】職員名簿 '!C129=$AX$3,'【様式2】職員名簿 '!K129=$AX$4),$AX$3,'【様式2】職員名簿 '!K129))</f>
        <v>-</v>
      </c>
      <c r="AY93" s="783">
        <f>IF($AW93="常勤",$AN$2,IF($AW93="非常勤",'【様式2】職員名簿 '!H129,0))</f>
        <v>0</v>
      </c>
      <c r="AZ93" s="406">
        <f>IF($AX93=AZ$3,COUNTIF($AX$8:$AX93,AZ$3),0)</f>
        <v>0</v>
      </c>
      <c r="BA93" s="788" t="str">
        <f t="shared" si="92"/>
        <v/>
      </c>
      <c r="BB93" s="247">
        <f>IF(OR($AX93=BB$3,$AX93=BB$4),COUNTIF($AX$8:$AX93,BB$3)+COUNTIF($AX$8:$AX93,BB$4),0)</f>
        <v>0</v>
      </c>
      <c r="BC93" s="788" t="str">
        <f t="shared" si="93"/>
        <v/>
      </c>
      <c r="BD93" s="407">
        <f>IF(OR($AX93=$BD$4,$AX93=BD$3),COUNTIFS($AX$8:$AX93,BD$3,$AW$8:$AW93,BD$5)+COUNTIFS($AX$8:$AX93,BD$4,$AW$8:$AW93,BD$5),0)</f>
        <v>0</v>
      </c>
      <c r="BE93" s="788" t="str">
        <f t="shared" si="94"/>
        <v/>
      </c>
      <c r="BF93" s="248">
        <f>IF($AX93=BF$3,COUNTIF($AX$8:$AX93,BF$3),0)</f>
        <v>0</v>
      </c>
      <c r="BG93" s="788" t="str">
        <f t="shared" si="95"/>
        <v/>
      </c>
      <c r="BH93" s="247">
        <f>IF(OR($AX93=BH$3,$AX93=BH$4),COUNTIF($AX$8:$AX93,BH$3)+COUNTIF($AX$8:$AX93,BH$4),0)</f>
        <v>0</v>
      </c>
      <c r="BI93" s="788" t="str">
        <f t="shared" si="96"/>
        <v/>
      </c>
      <c r="BJ93" s="247">
        <f>IF($AX93=BJ$4,COUNTIFS($AW$8:$AW93,BJ$3,$AX$8:$AX93,BJ$4),0)</f>
        <v>0</v>
      </c>
      <c r="BK93" s="788" t="str">
        <f t="shared" si="97"/>
        <v/>
      </c>
      <c r="BL93" s="247">
        <f>IF($AX93=BL$3,COUNTIF($AX$8:$AX93,BL$3),0)</f>
        <v>0</v>
      </c>
      <c r="BM93" s="788" t="str">
        <f t="shared" si="98"/>
        <v/>
      </c>
      <c r="BN93" s="247">
        <f>IF($AX93=BN$3,COUNTIF($AX$8:$AX93,BN$3),0)</f>
        <v>0</v>
      </c>
      <c r="BO93" s="788" t="str">
        <f t="shared" si="99"/>
        <v/>
      </c>
      <c r="BP93" s="247">
        <f>IF($AX93&lt;&gt;BP$3,COUNTIF($AX$8:$AX93,"&lt;&gt;"&amp;BP$3),0)</f>
        <v>0</v>
      </c>
      <c r="BQ93" s="788" t="str">
        <f t="shared" si="100"/>
        <v/>
      </c>
      <c r="BR93" s="247">
        <f>IF($AX93=BR$3,COUNTIF($AX$8:$AX93,BR$3),0)</f>
        <v>0</v>
      </c>
      <c r="BS93" s="788" t="str">
        <f t="shared" si="101"/>
        <v/>
      </c>
      <c r="BT93" s="312"/>
      <c r="BU93" s="312"/>
    </row>
    <row r="94" spans="1:73" ht="15" customHeight="1">
      <c r="A94" s="1586"/>
      <c r="B94" s="2716"/>
      <c r="C94" s="2717"/>
      <c r="D94" s="2739" t="str">
        <f t="shared" si="162"/>
        <v>保育教諭</v>
      </c>
      <c r="E94" s="2740"/>
      <c r="F94" s="2678"/>
      <c r="G94" s="2741"/>
      <c r="H94" s="2741"/>
      <c r="I94" s="890" t="str">
        <f t="shared" si="149"/>
        <v/>
      </c>
      <c r="J94" s="447" t="str">
        <f t="shared" si="163"/>
        <v/>
      </c>
      <c r="K94" s="1269"/>
      <c r="L94" s="509" t="str">
        <f t="shared" si="150"/>
        <v/>
      </c>
      <c r="M94" s="483">
        <f t="shared" si="151"/>
        <v>0</v>
      </c>
      <c r="N94" s="2706"/>
      <c r="O94" s="2707"/>
      <c r="P94" s="136"/>
      <c r="Q94" s="312"/>
      <c r="R94" s="312"/>
      <c r="S94" s="312"/>
      <c r="T94" s="446" t="str">
        <f t="shared" si="152"/>
        <v>保育教諭</v>
      </c>
      <c r="U94" s="988">
        <f t="shared" si="153"/>
        <v>0</v>
      </c>
      <c r="V94" s="976">
        <v>2</v>
      </c>
      <c r="W94" s="976" t="b">
        <f t="shared" si="164"/>
        <v>0</v>
      </c>
      <c r="X94" s="439" t="b">
        <f t="shared" ca="1" si="165"/>
        <v>0</v>
      </c>
      <c r="Y94" s="507" t="b">
        <f>COUNTIF($AD$30:AD93,AD94)+COUNTIF(AD95:$AD$147,AD94)-COUNTIF(Z94:AC94,AD94)=0</f>
        <v>0</v>
      </c>
      <c r="Z94" s="508" t="s">
        <v>804</v>
      </c>
      <c r="AA94" s="508" t="s">
        <v>804</v>
      </c>
      <c r="AB94" s="508" t="s">
        <v>804</v>
      </c>
      <c r="AC94" s="508" t="s">
        <v>804</v>
      </c>
      <c r="AD94" s="972">
        <f t="shared" si="155"/>
        <v>0</v>
      </c>
      <c r="AE94" s="439" t="b">
        <f t="shared" si="156"/>
        <v>0</v>
      </c>
      <c r="AF94" s="440" t="b">
        <f t="shared" si="157"/>
        <v>0</v>
      </c>
      <c r="AG94" s="976" t="str">
        <f t="shared" si="158"/>
        <v/>
      </c>
      <c r="AH94" s="508">
        <f t="shared" si="159"/>
        <v>0</v>
      </c>
      <c r="AI94" s="446">
        <v>2</v>
      </c>
      <c r="AJ94" s="248">
        <f t="shared" si="160"/>
        <v>2</v>
      </c>
      <c r="AK94" s="249">
        <f t="shared" si="161"/>
        <v>0</v>
      </c>
      <c r="AP94" s="461"/>
      <c r="AQ94" s="461"/>
      <c r="AR94" s="461"/>
      <c r="AS94" s="461"/>
      <c r="AU94" s="247">
        <f t="shared" si="122"/>
        <v>87</v>
      </c>
      <c r="AV94" s="1331" t="str">
        <f>AU94&amp;" "&amp;IF(AX94&lt;&gt;"-",'【様式2】職員名簿 '!B130&amp;"/"&amp;AW94&amp;"/"&amp;AX94,"")</f>
        <v xml:space="preserve">87 </v>
      </c>
      <c r="AW94" s="1331">
        <f>'【様式2】職員名簿 '!F130</f>
        <v>0</v>
      </c>
      <c r="AX94" s="1331" t="str">
        <f>IF('【様式2】職員名簿 '!K130="エラー","-",IF(AND('【様式2】職員名簿 '!C130=$AX$3,'【様式2】職員名簿 '!K130=$AX$4),$AX$3,'【様式2】職員名簿 '!K130))</f>
        <v>-</v>
      </c>
      <c r="AY94" s="783">
        <f>IF($AW94="常勤",$AN$2,IF($AW94="非常勤",'【様式2】職員名簿 '!H130,0))</f>
        <v>0</v>
      </c>
      <c r="AZ94" s="406">
        <f>IF($AX94=AZ$3,COUNTIF($AX$8:$AX94,AZ$3),0)</f>
        <v>0</v>
      </c>
      <c r="BA94" s="788" t="str">
        <f t="shared" si="92"/>
        <v/>
      </c>
      <c r="BB94" s="247">
        <f>IF(OR($AX94=BB$3,$AX94=BB$4),COUNTIF($AX$8:$AX94,BB$3)+COUNTIF($AX$8:$AX94,BB$4),0)</f>
        <v>0</v>
      </c>
      <c r="BC94" s="788" t="str">
        <f t="shared" si="93"/>
        <v/>
      </c>
      <c r="BD94" s="407">
        <f>IF(OR($AX94=$BD$4,$AX94=BD$3),COUNTIFS($AX$8:$AX94,BD$3,$AW$8:$AW94,BD$5)+COUNTIFS($AX$8:$AX94,BD$4,$AW$8:$AW94,BD$5),0)</f>
        <v>0</v>
      </c>
      <c r="BE94" s="788" t="str">
        <f t="shared" si="94"/>
        <v/>
      </c>
      <c r="BF94" s="248">
        <f>IF($AX94=BF$3,COUNTIF($AX$8:$AX94,BF$3),0)</f>
        <v>0</v>
      </c>
      <c r="BG94" s="788" t="str">
        <f t="shared" si="95"/>
        <v/>
      </c>
      <c r="BH94" s="247">
        <f>IF(OR($AX94=BH$3,$AX94=BH$4),COUNTIF($AX$8:$AX94,BH$3)+COUNTIF($AX$8:$AX94,BH$4),0)</f>
        <v>0</v>
      </c>
      <c r="BI94" s="788" t="str">
        <f t="shared" si="96"/>
        <v/>
      </c>
      <c r="BJ94" s="247">
        <f>IF($AX94=BJ$4,COUNTIFS($AW$8:$AW94,BJ$3,$AX$8:$AX94,BJ$4),0)</f>
        <v>0</v>
      </c>
      <c r="BK94" s="788" t="str">
        <f t="shared" si="97"/>
        <v/>
      </c>
      <c r="BL94" s="247">
        <f>IF($AX94=BL$3,COUNTIF($AX$8:$AX94,BL$3),0)</f>
        <v>0</v>
      </c>
      <c r="BM94" s="788" t="str">
        <f t="shared" si="98"/>
        <v/>
      </c>
      <c r="BN94" s="247">
        <f>IF($AX94=BN$3,COUNTIF($AX$8:$AX94,BN$3),0)</f>
        <v>0</v>
      </c>
      <c r="BO94" s="788" t="str">
        <f t="shared" si="99"/>
        <v/>
      </c>
      <c r="BP94" s="247">
        <f>IF($AX94&lt;&gt;BP$3,COUNTIF($AX$8:$AX94,"&lt;&gt;"&amp;BP$3),0)</f>
        <v>0</v>
      </c>
      <c r="BQ94" s="788" t="str">
        <f t="shared" si="100"/>
        <v/>
      </c>
      <c r="BR94" s="247">
        <f>IF($AX94=BR$3,COUNTIF($AX$8:$AX94,BR$3),0)</f>
        <v>0</v>
      </c>
      <c r="BS94" s="788" t="str">
        <f t="shared" si="101"/>
        <v/>
      </c>
      <c r="BT94" s="312"/>
      <c r="BU94" s="312"/>
    </row>
    <row r="95" spans="1:73" ht="15" customHeight="1">
      <c r="A95" s="1586"/>
      <c r="B95" s="2716"/>
      <c r="C95" s="2717"/>
      <c r="D95" s="2739" t="str">
        <f t="shared" si="162"/>
        <v>保育教諭</v>
      </c>
      <c r="E95" s="2740"/>
      <c r="F95" s="2678"/>
      <c r="G95" s="2741"/>
      <c r="H95" s="2741"/>
      <c r="I95" s="890" t="str">
        <f t="shared" si="149"/>
        <v/>
      </c>
      <c r="J95" s="447" t="str">
        <f t="shared" si="163"/>
        <v/>
      </c>
      <c r="K95" s="1269"/>
      <c r="L95" s="509" t="str">
        <f t="shared" si="150"/>
        <v/>
      </c>
      <c r="M95" s="483">
        <f t="shared" si="151"/>
        <v>0</v>
      </c>
      <c r="N95" s="2706"/>
      <c r="O95" s="2707"/>
      <c r="P95" s="136"/>
      <c r="Q95" s="312"/>
      <c r="R95" s="312"/>
      <c r="S95" s="312"/>
      <c r="T95" s="446" t="str">
        <f t="shared" si="152"/>
        <v>保育教諭</v>
      </c>
      <c r="U95" s="988">
        <f t="shared" si="153"/>
        <v>0</v>
      </c>
      <c r="V95" s="976">
        <v>2</v>
      </c>
      <c r="W95" s="976" t="b">
        <f t="shared" si="164"/>
        <v>0</v>
      </c>
      <c r="X95" s="439" t="b">
        <f t="shared" ca="1" si="165"/>
        <v>0</v>
      </c>
      <c r="Y95" s="507" t="b">
        <f>COUNTIF($AD$30:AD94,AD95)+COUNTIF(AD96:$AD$147,AD95)-COUNTIF(Z95:AC95,AD95)=0</f>
        <v>0</v>
      </c>
      <c r="Z95" s="508" t="s">
        <v>804</v>
      </c>
      <c r="AA95" s="508" t="s">
        <v>804</v>
      </c>
      <c r="AB95" s="508" t="s">
        <v>804</v>
      </c>
      <c r="AC95" s="508" t="s">
        <v>804</v>
      </c>
      <c r="AD95" s="972">
        <f t="shared" si="155"/>
        <v>0</v>
      </c>
      <c r="AE95" s="439" t="b">
        <f t="shared" si="156"/>
        <v>0</v>
      </c>
      <c r="AF95" s="440" t="b">
        <f t="shared" si="157"/>
        <v>0</v>
      </c>
      <c r="AG95" s="976" t="str">
        <f t="shared" si="158"/>
        <v/>
      </c>
      <c r="AH95" s="508">
        <f t="shared" si="159"/>
        <v>0</v>
      </c>
      <c r="AI95" s="446">
        <v>2</v>
      </c>
      <c r="AJ95" s="248">
        <f t="shared" si="160"/>
        <v>2</v>
      </c>
      <c r="AK95" s="249">
        <f t="shared" si="161"/>
        <v>0</v>
      </c>
      <c r="AP95" s="461"/>
      <c r="AQ95" s="461"/>
      <c r="AU95" s="247">
        <f t="shared" si="122"/>
        <v>88</v>
      </c>
      <c r="AV95" s="1331" t="str">
        <f>AU95&amp;" "&amp;IF(AX95&lt;&gt;"-",'【様式2】職員名簿 '!B131&amp;"/"&amp;AW95&amp;"/"&amp;AX95,"")</f>
        <v xml:space="preserve">88 </v>
      </c>
      <c r="AW95" s="1331">
        <f>'【様式2】職員名簿 '!F131</f>
        <v>0</v>
      </c>
      <c r="AX95" s="1331" t="str">
        <f>IF('【様式2】職員名簿 '!K131="エラー","-",IF(AND('【様式2】職員名簿 '!C131=$AX$3,'【様式2】職員名簿 '!K131=$AX$4),$AX$3,'【様式2】職員名簿 '!K131))</f>
        <v>-</v>
      </c>
      <c r="AY95" s="783">
        <f>IF($AW95="常勤",$AN$2,IF($AW95="非常勤",'【様式2】職員名簿 '!H131,0))</f>
        <v>0</v>
      </c>
      <c r="AZ95" s="406">
        <f>IF($AX95=AZ$3,COUNTIF($AX$8:$AX95,AZ$3),0)</f>
        <v>0</v>
      </c>
      <c r="BA95" s="788" t="str">
        <f t="shared" si="92"/>
        <v/>
      </c>
      <c r="BB95" s="247">
        <f>IF(OR($AX95=BB$3,$AX95=BB$4),COUNTIF($AX$8:$AX95,BB$3)+COUNTIF($AX$8:$AX95,BB$4),0)</f>
        <v>0</v>
      </c>
      <c r="BC95" s="788" t="str">
        <f t="shared" si="93"/>
        <v/>
      </c>
      <c r="BD95" s="407">
        <f>IF(OR($AX95=$BD$4,$AX95=BD$3),COUNTIFS($AX$8:$AX95,BD$3,$AW$8:$AW95,BD$5)+COUNTIFS($AX$8:$AX95,BD$4,$AW$8:$AW95,BD$5),0)</f>
        <v>0</v>
      </c>
      <c r="BE95" s="788" t="str">
        <f t="shared" si="94"/>
        <v/>
      </c>
      <c r="BF95" s="248">
        <f>IF($AX95=BF$3,COUNTIF($AX$8:$AX95,BF$3),0)</f>
        <v>0</v>
      </c>
      <c r="BG95" s="788" t="str">
        <f t="shared" si="95"/>
        <v/>
      </c>
      <c r="BH95" s="247">
        <f>IF(OR($AX95=BH$3,$AX95=BH$4),COUNTIF($AX$8:$AX95,BH$3)+COUNTIF($AX$8:$AX95,BH$4),0)</f>
        <v>0</v>
      </c>
      <c r="BI95" s="788" t="str">
        <f t="shared" si="96"/>
        <v/>
      </c>
      <c r="BJ95" s="247">
        <f>IF($AX95=BJ$4,COUNTIFS($AW$8:$AW95,BJ$3,$AX$8:$AX95,BJ$4),0)</f>
        <v>0</v>
      </c>
      <c r="BK95" s="788" t="str">
        <f t="shared" si="97"/>
        <v/>
      </c>
      <c r="BL95" s="247">
        <f>IF($AX95=BL$3,COUNTIF($AX$8:$AX95,BL$3),0)</f>
        <v>0</v>
      </c>
      <c r="BM95" s="788" t="str">
        <f t="shared" si="98"/>
        <v/>
      </c>
      <c r="BN95" s="247">
        <f>IF($AX95=BN$3,COUNTIF($AX$8:$AX95,BN$3),0)</f>
        <v>0</v>
      </c>
      <c r="BO95" s="788" t="str">
        <f t="shared" si="99"/>
        <v/>
      </c>
      <c r="BP95" s="247">
        <f>IF($AX95&lt;&gt;BP$3,COUNTIF($AX$8:$AX95,"&lt;&gt;"&amp;BP$3),0)</f>
        <v>0</v>
      </c>
      <c r="BQ95" s="788" t="str">
        <f t="shared" si="100"/>
        <v/>
      </c>
      <c r="BR95" s="247">
        <f>IF($AX95=BR$3,COUNTIF($AX$8:$AX95,BR$3),0)</f>
        <v>0</v>
      </c>
      <c r="BS95" s="788" t="str">
        <f t="shared" si="101"/>
        <v/>
      </c>
      <c r="BT95" s="312"/>
      <c r="BU95" s="312"/>
    </row>
    <row r="96" spans="1:73" ht="15" customHeight="1">
      <c r="A96" s="1586"/>
      <c r="B96" s="2716"/>
      <c r="C96" s="2717"/>
      <c r="D96" s="2739" t="str">
        <f t="shared" si="162"/>
        <v>保育教諭</v>
      </c>
      <c r="E96" s="2740"/>
      <c r="F96" s="2678"/>
      <c r="G96" s="2741"/>
      <c r="H96" s="2741"/>
      <c r="I96" s="890" t="str">
        <f t="shared" si="149"/>
        <v/>
      </c>
      <c r="J96" s="447" t="str">
        <f t="shared" si="163"/>
        <v/>
      </c>
      <c r="K96" s="1269"/>
      <c r="L96" s="509" t="str">
        <f t="shared" si="150"/>
        <v/>
      </c>
      <c r="M96" s="483">
        <f t="shared" si="151"/>
        <v>0</v>
      </c>
      <c r="N96" s="2706"/>
      <c r="O96" s="2707"/>
      <c r="P96" s="136"/>
      <c r="Q96" s="312"/>
      <c r="R96" s="312"/>
      <c r="S96" s="312"/>
      <c r="T96" s="446" t="str">
        <f t="shared" si="152"/>
        <v>保育教諭</v>
      </c>
      <c r="U96" s="988">
        <f t="shared" si="153"/>
        <v>0</v>
      </c>
      <c r="V96" s="976">
        <v>2</v>
      </c>
      <c r="W96" s="976" t="b">
        <f t="shared" si="164"/>
        <v>0</v>
      </c>
      <c r="X96" s="439" t="b">
        <f t="shared" ca="1" si="165"/>
        <v>0</v>
      </c>
      <c r="Y96" s="507" t="b">
        <f>COUNTIF($AD$30:AD95,AD96)+COUNTIF(AD97:$AD$147,AD96)-COUNTIF(Z96:AC96,AD96)=0</f>
        <v>0</v>
      </c>
      <c r="Z96" s="508" t="s">
        <v>804</v>
      </c>
      <c r="AA96" s="508" t="s">
        <v>804</v>
      </c>
      <c r="AB96" s="508" t="s">
        <v>804</v>
      </c>
      <c r="AC96" s="508" t="s">
        <v>804</v>
      </c>
      <c r="AD96" s="972">
        <f t="shared" si="155"/>
        <v>0</v>
      </c>
      <c r="AE96" s="439" t="b">
        <f t="shared" si="156"/>
        <v>0</v>
      </c>
      <c r="AF96" s="440" t="b">
        <f t="shared" si="157"/>
        <v>0</v>
      </c>
      <c r="AG96" s="976" t="str">
        <f t="shared" si="158"/>
        <v/>
      </c>
      <c r="AH96" s="508">
        <f t="shared" si="159"/>
        <v>0</v>
      </c>
      <c r="AI96" s="446">
        <v>2</v>
      </c>
      <c r="AJ96" s="248">
        <f t="shared" si="160"/>
        <v>2</v>
      </c>
      <c r="AK96" s="249">
        <f t="shared" si="161"/>
        <v>0</v>
      </c>
      <c r="AP96" s="461"/>
      <c r="AQ96" s="461"/>
      <c r="AU96" s="247">
        <f t="shared" si="122"/>
        <v>89</v>
      </c>
      <c r="AV96" s="1331" t="str">
        <f>AU96&amp;" "&amp;IF(AX96&lt;&gt;"-",'【様式2】職員名簿 '!B132&amp;"/"&amp;AW96&amp;"/"&amp;AX96,"")</f>
        <v xml:space="preserve">89 </v>
      </c>
      <c r="AW96" s="1331">
        <f>'【様式2】職員名簿 '!F132</f>
        <v>0</v>
      </c>
      <c r="AX96" s="1331" t="str">
        <f>IF('【様式2】職員名簿 '!K132="エラー","-",IF(AND('【様式2】職員名簿 '!C132=$AX$3,'【様式2】職員名簿 '!K132=$AX$4),$AX$3,'【様式2】職員名簿 '!K132))</f>
        <v>-</v>
      </c>
      <c r="AY96" s="783">
        <f>IF($AW96="常勤",$AN$2,IF($AW96="非常勤",'【様式2】職員名簿 '!H132,0))</f>
        <v>0</v>
      </c>
      <c r="AZ96" s="406">
        <f>IF($AX96=AZ$3,COUNTIF($AX$8:$AX96,AZ$3),0)</f>
        <v>0</v>
      </c>
      <c r="BA96" s="788" t="str">
        <f t="shared" si="92"/>
        <v/>
      </c>
      <c r="BB96" s="247">
        <f>IF(OR($AX96=BB$3,$AX96=BB$4),COUNTIF($AX$8:$AX96,BB$3)+COUNTIF($AX$8:$AX96,BB$4),0)</f>
        <v>0</v>
      </c>
      <c r="BC96" s="788" t="str">
        <f t="shared" si="93"/>
        <v/>
      </c>
      <c r="BD96" s="407">
        <f>IF(OR($AX96=$BD$4,$AX96=BD$3),COUNTIFS($AX$8:$AX96,BD$3,$AW$8:$AW96,BD$5)+COUNTIFS($AX$8:$AX96,BD$4,$AW$8:$AW96,BD$5),0)</f>
        <v>0</v>
      </c>
      <c r="BE96" s="788" t="str">
        <f t="shared" si="94"/>
        <v/>
      </c>
      <c r="BF96" s="248">
        <f>IF($AX96=BF$3,COUNTIF($AX$8:$AX96,BF$3),0)</f>
        <v>0</v>
      </c>
      <c r="BG96" s="788" t="str">
        <f t="shared" si="95"/>
        <v/>
      </c>
      <c r="BH96" s="247">
        <f>IF(OR($AX96=BH$3,$AX96=BH$4),COUNTIF($AX$8:$AX96,BH$3)+COUNTIF($AX$8:$AX96,BH$4),0)</f>
        <v>0</v>
      </c>
      <c r="BI96" s="788" t="str">
        <f t="shared" si="96"/>
        <v/>
      </c>
      <c r="BJ96" s="247">
        <f>IF($AX96=BJ$4,COUNTIFS($AW$8:$AW96,BJ$3,$AX$8:$AX96,BJ$4),0)</f>
        <v>0</v>
      </c>
      <c r="BK96" s="788" t="str">
        <f t="shared" si="97"/>
        <v/>
      </c>
      <c r="BL96" s="247">
        <f>IF($AX96=BL$3,COUNTIF($AX$8:$AX96,BL$3),0)</f>
        <v>0</v>
      </c>
      <c r="BM96" s="788" t="str">
        <f t="shared" si="98"/>
        <v/>
      </c>
      <c r="BN96" s="247">
        <f>IF($AX96=BN$3,COUNTIF($AX$8:$AX96,BN$3),0)</f>
        <v>0</v>
      </c>
      <c r="BO96" s="788" t="str">
        <f t="shared" si="99"/>
        <v/>
      </c>
      <c r="BP96" s="247">
        <f>IF($AX96&lt;&gt;BP$3,COUNTIF($AX$8:$AX96,"&lt;&gt;"&amp;BP$3),0)</f>
        <v>0</v>
      </c>
      <c r="BQ96" s="788" t="str">
        <f t="shared" si="100"/>
        <v/>
      </c>
      <c r="BR96" s="247">
        <f>IF($AX96=BR$3,COUNTIF($AX$8:$AX96,BR$3),0)</f>
        <v>0</v>
      </c>
      <c r="BS96" s="788" t="str">
        <f t="shared" si="101"/>
        <v/>
      </c>
      <c r="BT96" s="312"/>
      <c r="BU96" s="312"/>
    </row>
    <row r="97" spans="1:73" ht="15" customHeight="1">
      <c r="A97" s="1586"/>
      <c r="B97" s="2718"/>
      <c r="C97" s="2719"/>
      <c r="D97" s="2791" t="str">
        <f t="shared" si="162"/>
        <v>保育教諭</v>
      </c>
      <c r="E97" s="2792"/>
      <c r="F97" s="2754"/>
      <c r="G97" s="2755"/>
      <c r="H97" s="2755"/>
      <c r="I97" s="889" t="str">
        <f t="shared" si="149"/>
        <v/>
      </c>
      <c r="J97" s="464" t="str">
        <f t="shared" si="163"/>
        <v/>
      </c>
      <c r="K97" s="1270"/>
      <c r="L97" s="465" t="str">
        <f t="shared" si="150"/>
        <v/>
      </c>
      <c r="M97" s="466">
        <f t="shared" si="151"/>
        <v>0</v>
      </c>
      <c r="N97" s="2726"/>
      <c r="O97" s="2727"/>
      <c r="P97" s="136"/>
      <c r="Q97" s="312"/>
      <c r="R97" s="312"/>
      <c r="S97" s="312"/>
      <c r="T97" s="446" t="str">
        <f t="shared" si="152"/>
        <v>保育教諭</v>
      </c>
      <c r="U97" s="988">
        <f t="shared" si="153"/>
        <v>0</v>
      </c>
      <c r="V97" s="976">
        <v>2</v>
      </c>
      <c r="W97" s="976" t="b">
        <f t="shared" si="164"/>
        <v>0</v>
      </c>
      <c r="X97" s="439" t="b">
        <f t="shared" ca="1" si="165"/>
        <v>0</v>
      </c>
      <c r="Y97" s="507" t="b">
        <f>COUNTIF($AD$30:AD96,AD97)+COUNTIF(AD98:$AD$147,AD97)-COUNTIF(Z97:AC97,AD97)=0</f>
        <v>0</v>
      </c>
      <c r="Z97" s="508" t="s">
        <v>804</v>
      </c>
      <c r="AA97" s="508" t="s">
        <v>804</v>
      </c>
      <c r="AB97" s="508" t="s">
        <v>804</v>
      </c>
      <c r="AC97" s="508" t="s">
        <v>804</v>
      </c>
      <c r="AD97" s="972">
        <f t="shared" si="155"/>
        <v>0</v>
      </c>
      <c r="AE97" s="439" t="b">
        <f t="shared" si="156"/>
        <v>0</v>
      </c>
      <c r="AF97" s="440" t="b">
        <f t="shared" si="157"/>
        <v>0</v>
      </c>
      <c r="AG97" s="976" t="str">
        <f t="shared" si="158"/>
        <v/>
      </c>
      <c r="AH97" s="508">
        <f t="shared" si="159"/>
        <v>0</v>
      </c>
      <c r="AI97" s="446">
        <v>2</v>
      </c>
      <c r="AJ97" s="248">
        <f t="shared" si="160"/>
        <v>2</v>
      </c>
      <c r="AK97" s="249">
        <f t="shared" si="161"/>
        <v>0</v>
      </c>
      <c r="AP97" s="461"/>
      <c r="AQ97" s="461"/>
      <c r="AU97" s="247">
        <f t="shared" si="122"/>
        <v>90</v>
      </c>
      <c r="AV97" s="1331" t="str">
        <f>AU97&amp;" "&amp;IF(AX97&lt;&gt;"-",'【様式2】職員名簿 '!B133&amp;"/"&amp;AW97&amp;"/"&amp;AX97,"")</f>
        <v xml:space="preserve">90 </v>
      </c>
      <c r="AW97" s="1331">
        <f>'【様式2】職員名簿 '!F133</f>
        <v>0</v>
      </c>
      <c r="AX97" s="1331" t="str">
        <f>IF('【様式2】職員名簿 '!K133="エラー","-",IF(AND('【様式2】職員名簿 '!C133=$AX$3,'【様式2】職員名簿 '!K133=$AX$4),$AX$3,'【様式2】職員名簿 '!K133))</f>
        <v>-</v>
      </c>
      <c r="AY97" s="783">
        <f>IF($AW97="常勤",$AN$2,IF($AW97="非常勤",'【様式2】職員名簿 '!H133,0))</f>
        <v>0</v>
      </c>
      <c r="AZ97" s="406">
        <f>IF($AX97=AZ$3,COUNTIF($AX$8:$AX97,AZ$3),0)</f>
        <v>0</v>
      </c>
      <c r="BA97" s="788" t="str">
        <f t="shared" si="92"/>
        <v/>
      </c>
      <c r="BB97" s="247">
        <f>IF(OR($AX97=BB$3,$AX97=BB$4),COUNTIF($AX$8:$AX97,BB$3)+COUNTIF($AX$8:$AX97,BB$4),0)</f>
        <v>0</v>
      </c>
      <c r="BC97" s="788" t="str">
        <f t="shared" si="93"/>
        <v/>
      </c>
      <c r="BD97" s="407">
        <f>IF(OR($AX97=$BD$4,$AX97=BD$3),COUNTIFS($AX$8:$AX97,BD$3,$AW$8:$AW97,BD$5)+COUNTIFS($AX$8:$AX97,BD$4,$AW$8:$AW97,BD$5),0)</f>
        <v>0</v>
      </c>
      <c r="BE97" s="788" t="str">
        <f t="shared" si="94"/>
        <v/>
      </c>
      <c r="BF97" s="248">
        <f>IF($AX97=BF$3,COUNTIF($AX$8:$AX97,BF$3),0)</f>
        <v>0</v>
      </c>
      <c r="BG97" s="788" t="str">
        <f t="shared" si="95"/>
        <v/>
      </c>
      <c r="BH97" s="247">
        <f>IF(OR($AX97=BH$3,$AX97=BH$4),COUNTIF($AX$8:$AX97,BH$3)+COUNTIF($AX$8:$AX97,BH$4),0)</f>
        <v>0</v>
      </c>
      <c r="BI97" s="788" t="str">
        <f t="shared" si="96"/>
        <v/>
      </c>
      <c r="BJ97" s="247">
        <f>IF($AX97=BJ$4,COUNTIFS($AW$8:$AW97,BJ$3,$AX$8:$AX97,BJ$4),0)</f>
        <v>0</v>
      </c>
      <c r="BK97" s="788" t="str">
        <f t="shared" si="97"/>
        <v/>
      </c>
      <c r="BL97" s="247">
        <f>IF($AX97=BL$3,COUNTIF($AX$8:$AX97,BL$3),0)</f>
        <v>0</v>
      </c>
      <c r="BM97" s="788" t="str">
        <f t="shared" si="98"/>
        <v/>
      </c>
      <c r="BN97" s="247">
        <f>IF($AX97=BN$3,COUNTIF($AX$8:$AX97,BN$3),0)</f>
        <v>0</v>
      </c>
      <c r="BO97" s="788" t="str">
        <f t="shared" si="99"/>
        <v/>
      </c>
      <c r="BP97" s="247">
        <f>IF($AX97&lt;&gt;BP$3,COUNTIF($AX$8:$AX97,"&lt;&gt;"&amp;BP$3),0)</f>
        <v>0</v>
      </c>
      <c r="BQ97" s="788" t="str">
        <f t="shared" si="100"/>
        <v/>
      </c>
      <c r="BR97" s="247">
        <f>IF($AX97=BR$3,COUNTIF($AX$8:$AX97,BR$3),0)</f>
        <v>0</v>
      </c>
      <c r="BS97" s="788" t="str">
        <f t="shared" si="101"/>
        <v/>
      </c>
      <c r="BT97" s="312"/>
      <c r="BU97" s="312"/>
    </row>
    <row r="98" spans="1:73" ht="15" hidden="1" customHeight="1" outlineLevel="1">
      <c r="A98" s="1586"/>
      <c r="B98" s="2720" t="s">
        <v>1059</v>
      </c>
      <c r="C98" s="2721"/>
      <c r="D98" s="2793" t="str">
        <f t="shared" si="162"/>
        <v>調理員</v>
      </c>
      <c r="E98" s="2794"/>
      <c r="F98" s="2669"/>
      <c r="G98" s="2670"/>
      <c r="H98" s="2670"/>
      <c r="I98" s="900" t="str">
        <f t="shared" si="149"/>
        <v/>
      </c>
      <c r="J98" s="909" t="str">
        <f t="shared" si="163"/>
        <v/>
      </c>
      <c r="K98" s="1070"/>
      <c r="L98" s="804" t="str">
        <f t="shared" si="150"/>
        <v/>
      </c>
      <c r="M98" s="805">
        <f t="shared" si="151"/>
        <v>0</v>
      </c>
      <c r="N98" s="2728">
        <f>SUM(M98:M104)</f>
        <v>0</v>
      </c>
      <c r="O98" s="2729"/>
      <c r="P98" s="136"/>
      <c r="Q98" s="312"/>
      <c r="R98" s="312"/>
      <c r="S98" s="312"/>
      <c r="T98" s="446" t="str">
        <f t="shared" ref="T98:T104" si="166">$BI$6</f>
        <v>調理員</v>
      </c>
      <c r="U98" s="988">
        <f t="shared" si="153"/>
        <v>0</v>
      </c>
      <c r="V98" s="976">
        <v>2</v>
      </c>
      <c r="W98" s="976" t="b">
        <f t="shared" si="164"/>
        <v>0</v>
      </c>
      <c r="X98" s="439" t="b">
        <f t="shared" ca="1" si="165"/>
        <v>0</v>
      </c>
      <c r="Y98" s="507" t="b">
        <f>COUNTIF($AD$30:AD97,AD98)+COUNTIF(AD99:$AD$147,AD98)-COUNTIF(Z98:AC98,AD98)=0</f>
        <v>0</v>
      </c>
      <c r="Z98" s="508" t="s">
        <v>804</v>
      </c>
      <c r="AA98" s="508" t="s">
        <v>804</v>
      </c>
      <c r="AB98" s="508" t="s">
        <v>804</v>
      </c>
      <c r="AC98" s="508" t="s">
        <v>804</v>
      </c>
      <c r="AD98" s="972">
        <f t="shared" si="155"/>
        <v>0</v>
      </c>
      <c r="AE98" s="439" t="b">
        <f t="shared" si="156"/>
        <v>0</v>
      </c>
      <c r="AF98" s="440" t="b">
        <f t="shared" si="157"/>
        <v>0</v>
      </c>
      <c r="AG98" s="976" t="str">
        <f t="shared" si="158"/>
        <v/>
      </c>
      <c r="AH98" s="508">
        <f t="shared" si="159"/>
        <v>0</v>
      </c>
      <c r="AI98" s="446">
        <v>2</v>
      </c>
      <c r="AJ98" s="248">
        <f t="shared" si="160"/>
        <v>2</v>
      </c>
      <c r="AK98" s="249">
        <f t="shared" si="161"/>
        <v>0</v>
      </c>
      <c r="AP98" s="461"/>
      <c r="AQ98" s="461"/>
      <c r="AU98" s="247">
        <f t="shared" si="122"/>
        <v>91</v>
      </c>
      <c r="AV98" s="1331" t="str">
        <f>AU98&amp;" "&amp;IF(AX98&lt;&gt;"-",'【様式2】職員名簿 '!B134&amp;"/"&amp;AW98&amp;"/"&amp;AX98,"")</f>
        <v xml:space="preserve">91 </v>
      </c>
      <c r="AW98" s="1331">
        <f>'【様式2】職員名簿 '!F134</f>
        <v>0</v>
      </c>
      <c r="AX98" s="1331" t="str">
        <f>IF('【様式2】職員名簿 '!K134="エラー","-",IF(AND('【様式2】職員名簿 '!C134=$AX$3,'【様式2】職員名簿 '!K134=$AX$4),$AX$3,'【様式2】職員名簿 '!K134))</f>
        <v>-</v>
      </c>
      <c r="AY98" s="783">
        <f>IF($AW98="常勤",$AN$2,IF($AW98="非常勤",'【様式2】職員名簿 '!H134,0))</f>
        <v>0</v>
      </c>
      <c r="AZ98" s="406">
        <f>IF($AX98=AZ$3,COUNTIF($AX$8:$AX98,AZ$3),0)</f>
        <v>0</v>
      </c>
      <c r="BA98" s="788" t="str">
        <f t="shared" si="92"/>
        <v/>
      </c>
      <c r="BB98" s="247">
        <f>IF(OR($AX98=BB$3,$AX98=BB$4),COUNTIF($AX$8:$AX98,BB$3)+COUNTIF($AX$8:$AX98,BB$4),0)</f>
        <v>0</v>
      </c>
      <c r="BC98" s="788" t="str">
        <f t="shared" si="93"/>
        <v/>
      </c>
      <c r="BD98" s="407">
        <f>IF(OR($AX98=$BD$4,$AX98=BD$3),COUNTIFS($AX$8:$AX98,BD$3,$AW$8:$AW98,BD$5)+COUNTIFS($AX$8:$AX98,BD$4,$AW$8:$AW98,BD$5),0)</f>
        <v>0</v>
      </c>
      <c r="BE98" s="788" t="str">
        <f t="shared" si="94"/>
        <v/>
      </c>
      <c r="BF98" s="248">
        <f>IF($AX98=BF$3,COUNTIF($AX$8:$AX98,BF$3),0)</f>
        <v>0</v>
      </c>
      <c r="BG98" s="788" t="str">
        <f t="shared" si="95"/>
        <v/>
      </c>
      <c r="BH98" s="247">
        <f>IF(OR($AX98=BH$3,$AX98=BH$4),COUNTIF($AX$8:$AX98,BH$3)+COUNTIF($AX$8:$AX98,BH$4),0)</f>
        <v>0</v>
      </c>
      <c r="BI98" s="788" t="str">
        <f t="shared" si="96"/>
        <v/>
      </c>
      <c r="BJ98" s="247">
        <f>IF($AX98=BJ$4,COUNTIFS($AW$8:$AW98,BJ$3,$AX$8:$AX98,BJ$4),0)</f>
        <v>0</v>
      </c>
      <c r="BK98" s="788" t="str">
        <f t="shared" si="97"/>
        <v/>
      </c>
      <c r="BL98" s="247">
        <f>IF($AX98=BL$3,COUNTIF($AX$8:$AX98,BL$3),0)</f>
        <v>0</v>
      </c>
      <c r="BM98" s="788" t="str">
        <f t="shared" si="98"/>
        <v/>
      </c>
      <c r="BN98" s="247">
        <f>IF($AX98=BN$3,COUNTIF($AX$8:$AX98,BN$3),0)</f>
        <v>0</v>
      </c>
      <c r="BO98" s="788" t="str">
        <f t="shared" si="99"/>
        <v/>
      </c>
      <c r="BP98" s="247">
        <f>IF($AX98&lt;&gt;BP$3,COUNTIF($AX$8:$AX98,"&lt;&gt;"&amp;BP$3),0)</f>
        <v>0</v>
      </c>
      <c r="BQ98" s="788" t="str">
        <f t="shared" si="100"/>
        <v/>
      </c>
      <c r="BR98" s="247">
        <f>IF($AX98=BR$3,COUNTIF($AX$8:$AX98,BR$3),0)</f>
        <v>0</v>
      </c>
      <c r="BS98" s="788" t="str">
        <f t="shared" si="101"/>
        <v/>
      </c>
      <c r="BT98" s="312"/>
      <c r="BU98" s="312"/>
    </row>
    <row r="99" spans="1:73" ht="15" hidden="1" customHeight="1" outlineLevel="1">
      <c r="A99" s="1586"/>
      <c r="B99" s="2716"/>
      <c r="C99" s="2717"/>
      <c r="D99" s="2739" t="str">
        <f t="shared" si="162"/>
        <v>調理員</v>
      </c>
      <c r="E99" s="2740"/>
      <c r="F99" s="2678"/>
      <c r="G99" s="2741"/>
      <c r="H99" s="2741"/>
      <c r="I99" s="890" t="str">
        <f t="shared" si="149"/>
        <v/>
      </c>
      <c r="J99" s="447" t="str">
        <f t="shared" si="163"/>
        <v/>
      </c>
      <c r="K99" s="1068"/>
      <c r="L99" s="509" t="str">
        <f t="shared" si="150"/>
        <v/>
      </c>
      <c r="M99" s="483">
        <f t="shared" si="151"/>
        <v>0</v>
      </c>
      <c r="N99" s="2706"/>
      <c r="O99" s="2707"/>
      <c r="P99" s="136"/>
      <c r="Q99" s="312"/>
      <c r="R99" s="312"/>
      <c r="S99" s="312"/>
      <c r="T99" s="446" t="str">
        <f t="shared" si="166"/>
        <v>調理員</v>
      </c>
      <c r="U99" s="988">
        <f t="shared" si="153"/>
        <v>0</v>
      </c>
      <c r="V99" s="976">
        <v>2</v>
      </c>
      <c r="W99" s="976" t="b">
        <f t="shared" si="164"/>
        <v>0</v>
      </c>
      <c r="X99" s="439" t="b">
        <f t="shared" ca="1" si="165"/>
        <v>0</v>
      </c>
      <c r="Y99" s="507" t="b">
        <f>COUNTIF($AD$30:AD98,AD99)+COUNTIF(AD100:$AD$147,AD99)-COUNTIF(Z99:AC99,AD99)=0</f>
        <v>0</v>
      </c>
      <c r="Z99" s="508" t="s">
        <v>804</v>
      </c>
      <c r="AA99" s="508" t="s">
        <v>804</v>
      </c>
      <c r="AB99" s="508" t="s">
        <v>804</v>
      </c>
      <c r="AC99" s="508" t="s">
        <v>804</v>
      </c>
      <c r="AD99" s="972">
        <f t="shared" si="155"/>
        <v>0</v>
      </c>
      <c r="AE99" s="439" t="b">
        <f t="shared" si="156"/>
        <v>0</v>
      </c>
      <c r="AF99" s="440" t="b">
        <f t="shared" si="157"/>
        <v>0</v>
      </c>
      <c r="AG99" s="976" t="str">
        <f t="shared" si="158"/>
        <v/>
      </c>
      <c r="AH99" s="508">
        <f t="shared" si="159"/>
        <v>0</v>
      </c>
      <c r="AI99" s="446">
        <v>2</v>
      </c>
      <c r="AJ99" s="248">
        <f t="shared" si="160"/>
        <v>2</v>
      </c>
      <c r="AK99" s="249">
        <f t="shared" si="161"/>
        <v>0</v>
      </c>
      <c r="AU99" s="247">
        <f t="shared" si="122"/>
        <v>92</v>
      </c>
      <c r="AV99" s="1331" t="str">
        <f>AU99&amp;" "&amp;IF(AX99&lt;&gt;"-",'【様式2】職員名簿 '!B135&amp;"/"&amp;AW99&amp;"/"&amp;AX99,"")</f>
        <v xml:space="preserve">92 </v>
      </c>
      <c r="AW99" s="1331">
        <f>'【様式2】職員名簿 '!F135</f>
        <v>0</v>
      </c>
      <c r="AX99" s="1331" t="str">
        <f>IF('【様式2】職員名簿 '!K135="エラー","-",IF(AND('【様式2】職員名簿 '!C135=$AX$3,'【様式2】職員名簿 '!K135=$AX$4),$AX$3,'【様式2】職員名簿 '!K135))</f>
        <v>-</v>
      </c>
      <c r="AY99" s="783">
        <f>IF($AW99="常勤",$AN$2,IF($AW99="非常勤",'【様式2】職員名簿 '!H135,0))</f>
        <v>0</v>
      </c>
      <c r="AZ99" s="406">
        <f>IF($AX99=AZ$3,COUNTIF($AX$8:$AX99,AZ$3),0)</f>
        <v>0</v>
      </c>
      <c r="BA99" s="788" t="str">
        <f t="shared" si="92"/>
        <v/>
      </c>
      <c r="BB99" s="247">
        <f>IF(OR($AX99=BB$3,$AX99=BB$4),COUNTIF($AX$8:$AX99,BB$3)+COUNTIF($AX$8:$AX99,BB$4),0)</f>
        <v>0</v>
      </c>
      <c r="BC99" s="788" t="str">
        <f t="shared" si="93"/>
        <v/>
      </c>
      <c r="BD99" s="407">
        <f>IF(OR($AX99=$BD$4,$AX99=BD$3),COUNTIFS($AX$8:$AX99,BD$3,$AW$8:$AW99,BD$5)+COUNTIFS($AX$8:$AX99,BD$4,$AW$8:$AW99,BD$5),0)</f>
        <v>0</v>
      </c>
      <c r="BE99" s="788" t="str">
        <f t="shared" si="94"/>
        <v/>
      </c>
      <c r="BF99" s="248">
        <f>IF($AX99=BF$3,COUNTIF($AX$8:$AX99,BF$3),0)</f>
        <v>0</v>
      </c>
      <c r="BG99" s="788" t="str">
        <f t="shared" si="95"/>
        <v/>
      </c>
      <c r="BH99" s="247">
        <f>IF(OR($AX99=BH$3,$AX99=BH$4),COUNTIF($AX$8:$AX99,BH$3)+COUNTIF($AX$8:$AX99,BH$4),0)</f>
        <v>0</v>
      </c>
      <c r="BI99" s="788" t="str">
        <f t="shared" si="96"/>
        <v/>
      </c>
      <c r="BJ99" s="247">
        <f>IF($AX99=BJ$4,COUNTIFS($AW$8:$AW99,BJ$3,$AX$8:$AX99,BJ$4),0)</f>
        <v>0</v>
      </c>
      <c r="BK99" s="788" t="str">
        <f t="shared" si="97"/>
        <v/>
      </c>
      <c r="BL99" s="247">
        <f>IF($AX99=BL$3,COUNTIF($AX$8:$AX99,BL$3),0)</f>
        <v>0</v>
      </c>
      <c r="BM99" s="788" t="str">
        <f t="shared" si="98"/>
        <v/>
      </c>
      <c r="BN99" s="247">
        <f>IF($AX99=BN$3,COUNTIF($AX$8:$AX99,BN$3),0)</f>
        <v>0</v>
      </c>
      <c r="BO99" s="788" t="str">
        <f t="shared" si="99"/>
        <v/>
      </c>
      <c r="BP99" s="247">
        <f>IF($AX99&lt;&gt;BP$3,COUNTIF($AX$8:$AX99,"&lt;&gt;"&amp;BP$3),0)</f>
        <v>0</v>
      </c>
      <c r="BQ99" s="788" t="str">
        <f t="shared" si="100"/>
        <v/>
      </c>
      <c r="BR99" s="247">
        <f>IF($AX99=BR$3,COUNTIF($AX$8:$AX99,BR$3),0)</f>
        <v>0</v>
      </c>
      <c r="BS99" s="788" t="str">
        <f t="shared" si="101"/>
        <v/>
      </c>
      <c r="BT99" s="312"/>
      <c r="BU99" s="312"/>
    </row>
    <row r="100" spans="1:73" ht="15" hidden="1" customHeight="1" outlineLevel="1">
      <c r="A100" s="1586"/>
      <c r="B100" s="2716"/>
      <c r="C100" s="2717"/>
      <c r="D100" s="2739" t="str">
        <f t="shared" si="162"/>
        <v>調理員</v>
      </c>
      <c r="E100" s="2740"/>
      <c r="F100" s="2678"/>
      <c r="G100" s="2741"/>
      <c r="H100" s="2741"/>
      <c r="I100" s="890" t="str">
        <f t="shared" si="149"/>
        <v/>
      </c>
      <c r="J100" s="447" t="str">
        <f t="shared" si="163"/>
        <v/>
      </c>
      <c r="K100" s="1068"/>
      <c r="L100" s="509" t="str">
        <f t="shared" si="150"/>
        <v/>
      </c>
      <c r="M100" s="483">
        <f t="shared" si="151"/>
        <v>0</v>
      </c>
      <c r="N100" s="2706"/>
      <c r="O100" s="2707"/>
      <c r="P100" s="136"/>
      <c r="Q100" s="312"/>
      <c r="R100" s="312"/>
      <c r="S100" s="312"/>
      <c r="T100" s="446" t="str">
        <f t="shared" si="166"/>
        <v>調理員</v>
      </c>
      <c r="U100" s="988">
        <f t="shared" si="153"/>
        <v>0</v>
      </c>
      <c r="V100" s="976">
        <v>2</v>
      </c>
      <c r="W100" s="976" t="b">
        <f t="shared" si="164"/>
        <v>0</v>
      </c>
      <c r="X100" s="439" t="b">
        <f t="shared" ca="1" si="165"/>
        <v>0</v>
      </c>
      <c r="Y100" s="507" t="b">
        <f>COUNTIF($AD$30:AD99,AD100)+COUNTIF(AD101:$AD$147,AD100)-COUNTIF(Z100:AC100,AD100)=0</f>
        <v>0</v>
      </c>
      <c r="Z100" s="508" t="s">
        <v>804</v>
      </c>
      <c r="AA100" s="508" t="s">
        <v>804</v>
      </c>
      <c r="AB100" s="508" t="s">
        <v>804</v>
      </c>
      <c r="AC100" s="508" t="s">
        <v>804</v>
      </c>
      <c r="AD100" s="972">
        <f t="shared" si="155"/>
        <v>0</v>
      </c>
      <c r="AE100" s="439" t="b">
        <f t="shared" si="156"/>
        <v>0</v>
      </c>
      <c r="AF100" s="440" t="b">
        <f t="shared" si="157"/>
        <v>0</v>
      </c>
      <c r="AG100" s="976" t="str">
        <f t="shared" si="158"/>
        <v/>
      </c>
      <c r="AH100" s="508">
        <f t="shared" si="159"/>
        <v>0</v>
      </c>
      <c r="AI100" s="446">
        <v>2</v>
      </c>
      <c r="AJ100" s="248">
        <f t="shared" si="160"/>
        <v>2</v>
      </c>
      <c r="AK100" s="249">
        <f t="shared" si="161"/>
        <v>0</v>
      </c>
      <c r="AP100" s="461"/>
      <c r="AQ100" s="461"/>
      <c r="AU100" s="247">
        <f t="shared" si="122"/>
        <v>93</v>
      </c>
      <c r="AV100" s="1331" t="str">
        <f>AU100&amp;" "&amp;IF(AX100&lt;&gt;"-",'【様式2】職員名簿 '!B136&amp;"/"&amp;AW100&amp;"/"&amp;AX100,"")</f>
        <v xml:space="preserve">93 </v>
      </c>
      <c r="AW100" s="1331">
        <f>'【様式2】職員名簿 '!F136</f>
        <v>0</v>
      </c>
      <c r="AX100" s="1331" t="str">
        <f>IF('【様式2】職員名簿 '!K136="エラー","-",IF(AND('【様式2】職員名簿 '!C136=$AX$3,'【様式2】職員名簿 '!K136=$AX$4),$AX$3,'【様式2】職員名簿 '!K136))</f>
        <v>-</v>
      </c>
      <c r="AY100" s="783">
        <f>IF($AW100="常勤",$AN$2,IF($AW100="非常勤",'【様式2】職員名簿 '!H136,0))</f>
        <v>0</v>
      </c>
      <c r="AZ100" s="406">
        <f>IF($AX100=AZ$3,COUNTIF($AX$8:$AX100,AZ$3),0)</f>
        <v>0</v>
      </c>
      <c r="BA100" s="788" t="str">
        <f t="shared" si="92"/>
        <v/>
      </c>
      <c r="BB100" s="247">
        <f>IF(OR($AX100=BB$3,$AX100=BB$4),COUNTIF($AX$8:$AX100,BB$3)+COUNTIF($AX$8:$AX100,BB$4),0)</f>
        <v>0</v>
      </c>
      <c r="BC100" s="788" t="str">
        <f t="shared" si="93"/>
        <v/>
      </c>
      <c r="BD100" s="407">
        <f>IF(OR($AX100=$BD$4,$AX100=BD$3),COUNTIFS($AX$8:$AX100,BD$3,$AW$8:$AW100,BD$5)+COUNTIFS($AX$8:$AX100,BD$4,$AW$8:$AW100,BD$5),0)</f>
        <v>0</v>
      </c>
      <c r="BE100" s="788" t="str">
        <f t="shared" si="94"/>
        <v/>
      </c>
      <c r="BF100" s="248">
        <f>IF($AX100=BF$3,COUNTIF($AX$8:$AX100,BF$3),0)</f>
        <v>0</v>
      </c>
      <c r="BG100" s="788" t="str">
        <f t="shared" si="95"/>
        <v/>
      </c>
      <c r="BH100" s="247">
        <f>IF(OR($AX100=BH$3,$AX100=BH$4),COUNTIF($AX$8:$AX100,BH$3)+COUNTIF($AX$8:$AX100,BH$4),0)</f>
        <v>0</v>
      </c>
      <c r="BI100" s="788" t="str">
        <f t="shared" si="96"/>
        <v/>
      </c>
      <c r="BJ100" s="247">
        <f>IF($AX100=BJ$4,COUNTIFS($AW$8:$AW100,BJ$3,$AX$8:$AX100,BJ$4),0)</f>
        <v>0</v>
      </c>
      <c r="BK100" s="788" t="str">
        <f t="shared" si="97"/>
        <v/>
      </c>
      <c r="BL100" s="247">
        <f>IF($AX100=BL$3,COUNTIF($AX$8:$AX100,BL$3),0)</f>
        <v>0</v>
      </c>
      <c r="BM100" s="788" t="str">
        <f t="shared" si="98"/>
        <v/>
      </c>
      <c r="BN100" s="247">
        <f>IF($AX100=BN$3,COUNTIF($AX$8:$AX100,BN$3),0)</f>
        <v>0</v>
      </c>
      <c r="BO100" s="788" t="str">
        <f t="shared" si="99"/>
        <v/>
      </c>
      <c r="BP100" s="247">
        <f>IF($AX100&lt;&gt;BP$3,COUNTIF($AX$8:$AX100,"&lt;&gt;"&amp;BP$3),0)</f>
        <v>0</v>
      </c>
      <c r="BQ100" s="788" t="str">
        <f t="shared" si="100"/>
        <v/>
      </c>
      <c r="BR100" s="247">
        <f>IF($AX100=BR$3,COUNTIF($AX$8:$AX100,BR$3),0)</f>
        <v>0</v>
      </c>
      <c r="BS100" s="788" t="str">
        <f t="shared" si="101"/>
        <v/>
      </c>
      <c r="BT100" s="312"/>
      <c r="BU100" s="312"/>
    </row>
    <row r="101" spans="1:73" ht="15" hidden="1" customHeight="1" outlineLevel="1">
      <c r="A101" s="1586"/>
      <c r="B101" s="2716"/>
      <c r="C101" s="2717"/>
      <c r="D101" s="2739" t="str">
        <f t="shared" si="162"/>
        <v>調理員</v>
      </c>
      <c r="E101" s="2740"/>
      <c r="F101" s="2678"/>
      <c r="G101" s="2741"/>
      <c r="H101" s="2741"/>
      <c r="I101" s="890" t="str">
        <f t="shared" si="149"/>
        <v/>
      </c>
      <c r="J101" s="447" t="str">
        <f t="shared" si="163"/>
        <v/>
      </c>
      <c r="K101" s="1068"/>
      <c r="L101" s="509" t="str">
        <f t="shared" si="150"/>
        <v/>
      </c>
      <c r="M101" s="483">
        <f t="shared" si="151"/>
        <v>0</v>
      </c>
      <c r="N101" s="2706"/>
      <c r="O101" s="2707"/>
      <c r="P101" s="136"/>
      <c r="Q101" s="312"/>
      <c r="R101" s="312"/>
      <c r="S101" s="312"/>
      <c r="T101" s="446" t="str">
        <f t="shared" si="166"/>
        <v>調理員</v>
      </c>
      <c r="U101" s="988">
        <f t="shared" si="153"/>
        <v>0</v>
      </c>
      <c r="V101" s="976">
        <v>2</v>
      </c>
      <c r="W101" s="976" t="b">
        <f t="shared" si="164"/>
        <v>0</v>
      </c>
      <c r="X101" s="439" t="b">
        <f t="shared" ca="1" si="165"/>
        <v>0</v>
      </c>
      <c r="Y101" s="507" t="b">
        <f>COUNTIF($AD$30:AD100,AD101)+COUNTIF(AD102:$AD$147,AD101)-COUNTIF(Z101:AC101,AD101)=0</f>
        <v>0</v>
      </c>
      <c r="Z101" s="508" t="s">
        <v>804</v>
      </c>
      <c r="AA101" s="508" t="s">
        <v>804</v>
      </c>
      <c r="AB101" s="508" t="s">
        <v>804</v>
      </c>
      <c r="AC101" s="508" t="s">
        <v>804</v>
      </c>
      <c r="AD101" s="972">
        <f t="shared" si="155"/>
        <v>0</v>
      </c>
      <c r="AE101" s="439" t="b">
        <f t="shared" si="156"/>
        <v>0</v>
      </c>
      <c r="AF101" s="440" t="b">
        <f t="shared" si="157"/>
        <v>0</v>
      </c>
      <c r="AG101" s="976" t="str">
        <f t="shared" si="158"/>
        <v/>
      </c>
      <c r="AH101" s="508">
        <f t="shared" si="159"/>
        <v>0</v>
      </c>
      <c r="AI101" s="446">
        <v>2</v>
      </c>
      <c r="AJ101" s="248">
        <f t="shared" si="160"/>
        <v>2</v>
      </c>
      <c r="AK101" s="249">
        <f t="shared" si="161"/>
        <v>0</v>
      </c>
      <c r="AP101" s="461"/>
      <c r="AQ101" s="461"/>
      <c r="AU101" s="247">
        <f t="shared" si="122"/>
        <v>94</v>
      </c>
      <c r="AV101" s="1331" t="str">
        <f>AU101&amp;" "&amp;IF(AX101&lt;&gt;"-",'【様式2】職員名簿 '!B137&amp;"/"&amp;AW101&amp;"/"&amp;AX101,"")</f>
        <v xml:space="preserve">94 </v>
      </c>
      <c r="AW101" s="1331">
        <f>'【様式2】職員名簿 '!F137</f>
        <v>0</v>
      </c>
      <c r="AX101" s="1331" t="str">
        <f>IF('【様式2】職員名簿 '!K137="エラー","-",IF(AND('【様式2】職員名簿 '!C137=$AX$3,'【様式2】職員名簿 '!K137=$AX$4),$AX$3,'【様式2】職員名簿 '!K137))</f>
        <v>-</v>
      </c>
      <c r="AY101" s="783">
        <f>IF($AW101="常勤",$AN$2,IF($AW101="非常勤",'【様式2】職員名簿 '!H137,0))</f>
        <v>0</v>
      </c>
      <c r="AZ101" s="406">
        <f>IF($AX101=AZ$3,COUNTIF($AX$8:$AX101,AZ$3),0)</f>
        <v>0</v>
      </c>
      <c r="BA101" s="788" t="str">
        <f t="shared" si="92"/>
        <v/>
      </c>
      <c r="BB101" s="247">
        <f>IF(OR($AX101=BB$3,$AX101=BB$4),COUNTIF($AX$8:$AX101,BB$3)+COUNTIF($AX$8:$AX101,BB$4),0)</f>
        <v>0</v>
      </c>
      <c r="BC101" s="788" t="str">
        <f t="shared" si="93"/>
        <v/>
      </c>
      <c r="BD101" s="407">
        <f>IF(OR($AX101=$BD$4,$AX101=BD$3),COUNTIFS($AX$8:$AX101,BD$3,$AW$8:$AW101,BD$5)+COUNTIFS($AX$8:$AX101,BD$4,$AW$8:$AW101,BD$5),0)</f>
        <v>0</v>
      </c>
      <c r="BE101" s="788" t="str">
        <f t="shared" si="94"/>
        <v/>
      </c>
      <c r="BF101" s="248">
        <f>IF($AX101=BF$3,COUNTIF($AX$8:$AX101,BF$3),0)</f>
        <v>0</v>
      </c>
      <c r="BG101" s="788" t="str">
        <f t="shared" si="95"/>
        <v/>
      </c>
      <c r="BH101" s="247">
        <f>IF(OR($AX101=BH$3,$AX101=BH$4),COUNTIF($AX$8:$AX101,BH$3)+COUNTIF($AX$8:$AX101,BH$4),0)</f>
        <v>0</v>
      </c>
      <c r="BI101" s="788" t="str">
        <f t="shared" si="96"/>
        <v/>
      </c>
      <c r="BJ101" s="247">
        <f>IF($AX101=BJ$4,COUNTIFS($AW$8:$AW101,BJ$3,$AX$8:$AX101,BJ$4),0)</f>
        <v>0</v>
      </c>
      <c r="BK101" s="788" t="str">
        <f t="shared" si="97"/>
        <v/>
      </c>
      <c r="BL101" s="247">
        <f>IF($AX101=BL$3,COUNTIF($AX$8:$AX101,BL$3),0)</f>
        <v>0</v>
      </c>
      <c r="BM101" s="788" t="str">
        <f t="shared" si="98"/>
        <v/>
      </c>
      <c r="BN101" s="247">
        <f>IF($AX101=BN$3,COUNTIF($AX$8:$AX101,BN$3),0)</f>
        <v>0</v>
      </c>
      <c r="BO101" s="788" t="str">
        <f t="shared" si="99"/>
        <v/>
      </c>
      <c r="BP101" s="247">
        <f>IF($AX101&lt;&gt;BP$3,COUNTIF($AX$8:$AX101,"&lt;&gt;"&amp;BP$3),0)</f>
        <v>0</v>
      </c>
      <c r="BQ101" s="788" t="str">
        <f t="shared" si="100"/>
        <v/>
      </c>
      <c r="BR101" s="247">
        <f>IF($AX101=BR$3,COUNTIF($AX$8:$AX101,BR$3),0)</f>
        <v>0</v>
      </c>
      <c r="BS101" s="788" t="str">
        <f t="shared" si="101"/>
        <v/>
      </c>
      <c r="BT101" s="312"/>
      <c r="BU101" s="312"/>
    </row>
    <row r="102" spans="1:73" ht="15" hidden="1" customHeight="1" outlineLevel="1">
      <c r="A102" s="1586"/>
      <c r="B102" s="2716"/>
      <c r="C102" s="2717"/>
      <c r="D102" s="2739" t="str">
        <f t="shared" si="162"/>
        <v>調理員</v>
      </c>
      <c r="E102" s="2740"/>
      <c r="F102" s="2678"/>
      <c r="G102" s="2741"/>
      <c r="H102" s="2741"/>
      <c r="I102" s="890" t="str">
        <f t="shared" si="149"/>
        <v/>
      </c>
      <c r="J102" s="447" t="str">
        <f t="shared" si="163"/>
        <v/>
      </c>
      <c r="K102" s="1068"/>
      <c r="L102" s="509" t="str">
        <f t="shared" si="150"/>
        <v/>
      </c>
      <c r="M102" s="483">
        <f t="shared" si="151"/>
        <v>0</v>
      </c>
      <c r="N102" s="2706"/>
      <c r="O102" s="2707"/>
      <c r="P102" s="136"/>
      <c r="Q102" s="312"/>
      <c r="R102" s="312"/>
      <c r="S102" s="312"/>
      <c r="T102" s="446" t="str">
        <f t="shared" si="166"/>
        <v>調理員</v>
      </c>
      <c r="U102" s="988">
        <f t="shared" si="153"/>
        <v>0</v>
      </c>
      <c r="V102" s="976">
        <v>2</v>
      </c>
      <c r="W102" s="976" t="b">
        <f t="shared" si="164"/>
        <v>0</v>
      </c>
      <c r="X102" s="439" t="b">
        <f t="shared" ca="1" si="165"/>
        <v>0</v>
      </c>
      <c r="Y102" s="507" t="b">
        <f>COUNTIF($AD$30:AD101,AD102)+COUNTIF(AD103:$AD$147,AD102)-COUNTIF(Z102:AC102,AD102)=0</f>
        <v>0</v>
      </c>
      <c r="Z102" s="508" t="s">
        <v>804</v>
      </c>
      <c r="AA102" s="508" t="s">
        <v>804</v>
      </c>
      <c r="AB102" s="508" t="s">
        <v>804</v>
      </c>
      <c r="AC102" s="508" t="s">
        <v>804</v>
      </c>
      <c r="AD102" s="972">
        <f t="shared" si="155"/>
        <v>0</v>
      </c>
      <c r="AE102" s="439" t="b">
        <f t="shared" si="156"/>
        <v>0</v>
      </c>
      <c r="AF102" s="440" t="b">
        <f t="shared" si="157"/>
        <v>0</v>
      </c>
      <c r="AG102" s="976" t="str">
        <f t="shared" si="158"/>
        <v/>
      </c>
      <c r="AH102" s="508">
        <f t="shared" si="159"/>
        <v>0</v>
      </c>
      <c r="AI102" s="446">
        <v>2</v>
      </c>
      <c r="AJ102" s="248">
        <f t="shared" si="160"/>
        <v>2</v>
      </c>
      <c r="AK102" s="249">
        <f t="shared" si="161"/>
        <v>0</v>
      </c>
      <c r="AU102" s="247">
        <f t="shared" si="122"/>
        <v>95</v>
      </c>
      <c r="AV102" s="1331" t="str">
        <f>AU102&amp;" "&amp;IF(AX102&lt;&gt;"-",'【様式2】職員名簿 '!B138&amp;"/"&amp;AW102&amp;"/"&amp;AX102,"")</f>
        <v xml:space="preserve">95 </v>
      </c>
      <c r="AW102" s="1331">
        <f>'【様式2】職員名簿 '!F138</f>
        <v>0</v>
      </c>
      <c r="AX102" s="1331" t="str">
        <f>IF('【様式2】職員名簿 '!K138="エラー","-",IF(AND('【様式2】職員名簿 '!C138=$AX$3,'【様式2】職員名簿 '!K138=$AX$4),$AX$3,'【様式2】職員名簿 '!K138))</f>
        <v>-</v>
      </c>
      <c r="AY102" s="783">
        <f>IF($AW102="常勤",$AN$2,IF($AW102="非常勤",'【様式2】職員名簿 '!H138,0))</f>
        <v>0</v>
      </c>
      <c r="AZ102" s="406">
        <f>IF($AX102=AZ$3,COUNTIF($AX$8:$AX102,AZ$3),0)</f>
        <v>0</v>
      </c>
      <c r="BA102" s="788" t="str">
        <f t="shared" si="92"/>
        <v/>
      </c>
      <c r="BB102" s="247">
        <f>IF(OR($AX102=BB$3,$AX102=BB$4),COUNTIF($AX$8:$AX102,BB$3)+COUNTIF($AX$8:$AX102,BB$4),0)</f>
        <v>0</v>
      </c>
      <c r="BC102" s="788" t="str">
        <f t="shared" si="93"/>
        <v/>
      </c>
      <c r="BD102" s="407">
        <f>IF(OR($AX102=$BD$4,$AX102=BD$3),COUNTIFS($AX$8:$AX102,BD$3,$AW$8:$AW102,BD$5)+COUNTIFS($AX$8:$AX102,BD$4,$AW$8:$AW102,BD$5),0)</f>
        <v>0</v>
      </c>
      <c r="BE102" s="788" t="str">
        <f t="shared" si="94"/>
        <v/>
      </c>
      <c r="BF102" s="248">
        <f>IF($AX102=BF$3,COUNTIF($AX$8:$AX102,BF$3),0)</f>
        <v>0</v>
      </c>
      <c r="BG102" s="788" t="str">
        <f t="shared" si="95"/>
        <v/>
      </c>
      <c r="BH102" s="247">
        <f>IF(OR($AX102=BH$3,$AX102=BH$4),COUNTIF($AX$8:$AX102,BH$3)+COUNTIF($AX$8:$AX102,BH$4),0)</f>
        <v>0</v>
      </c>
      <c r="BI102" s="788" t="str">
        <f t="shared" si="96"/>
        <v/>
      </c>
      <c r="BJ102" s="247">
        <f>IF($AX102=BJ$4,COUNTIFS($AW$8:$AW102,BJ$3,$AX$8:$AX102,BJ$4),0)</f>
        <v>0</v>
      </c>
      <c r="BK102" s="788" t="str">
        <f t="shared" si="97"/>
        <v/>
      </c>
      <c r="BL102" s="247">
        <f>IF($AX102=BL$3,COUNTIF($AX$8:$AX102,BL$3),0)</f>
        <v>0</v>
      </c>
      <c r="BM102" s="788" t="str">
        <f t="shared" si="98"/>
        <v/>
      </c>
      <c r="BN102" s="247">
        <f>IF($AX102=BN$3,COUNTIF($AX$8:$AX102,BN$3),0)</f>
        <v>0</v>
      </c>
      <c r="BO102" s="788" t="str">
        <f t="shared" si="99"/>
        <v/>
      </c>
      <c r="BP102" s="247">
        <f>IF($AX102&lt;&gt;BP$3,COUNTIF($AX$8:$AX102,"&lt;&gt;"&amp;BP$3),0)</f>
        <v>0</v>
      </c>
      <c r="BQ102" s="788" t="str">
        <f t="shared" si="100"/>
        <v/>
      </c>
      <c r="BR102" s="247">
        <f>IF($AX102=BR$3,COUNTIF($AX$8:$AX102,BR$3),0)</f>
        <v>0</v>
      </c>
      <c r="BS102" s="788" t="str">
        <f t="shared" si="101"/>
        <v/>
      </c>
      <c r="BT102" s="312"/>
      <c r="BU102" s="312"/>
    </row>
    <row r="103" spans="1:73" ht="15" hidden="1" customHeight="1" outlineLevel="1">
      <c r="A103" s="1586"/>
      <c r="B103" s="2716"/>
      <c r="C103" s="2717"/>
      <c r="D103" s="2739" t="str">
        <f t="shared" si="162"/>
        <v>調理員</v>
      </c>
      <c r="E103" s="2740"/>
      <c r="F103" s="2678"/>
      <c r="G103" s="2741"/>
      <c r="H103" s="2741"/>
      <c r="I103" s="890" t="str">
        <f t="shared" si="149"/>
        <v/>
      </c>
      <c r="J103" s="447" t="str">
        <f t="shared" si="163"/>
        <v/>
      </c>
      <c r="K103" s="1068"/>
      <c r="L103" s="509" t="str">
        <f t="shared" si="150"/>
        <v/>
      </c>
      <c r="M103" s="483">
        <f t="shared" si="151"/>
        <v>0</v>
      </c>
      <c r="N103" s="2706"/>
      <c r="O103" s="2707"/>
      <c r="P103" s="136"/>
      <c r="Q103" s="312"/>
      <c r="R103" s="312"/>
      <c r="S103" s="312"/>
      <c r="T103" s="446" t="str">
        <f t="shared" si="166"/>
        <v>調理員</v>
      </c>
      <c r="U103" s="988">
        <f t="shared" si="153"/>
        <v>0</v>
      </c>
      <c r="V103" s="976">
        <v>2</v>
      </c>
      <c r="W103" s="976" t="b">
        <f t="shared" si="164"/>
        <v>0</v>
      </c>
      <c r="X103" s="439" t="b">
        <f t="shared" ca="1" si="165"/>
        <v>0</v>
      </c>
      <c r="Y103" s="507" t="b">
        <f>COUNTIF($AD$30:AD102,AD103)+COUNTIF(AD104:$AD$147,AD103)-COUNTIF(Z103:AC103,AD103)=0</f>
        <v>0</v>
      </c>
      <c r="Z103" s="508" t="s">
        <v>804</v>
      </c>
      <c r="AA103" s="508" t="s">
        <v>804</v>
      </c>
      <c r="AB103" s="508" t="s">
        <v>804</v>
      </c>
      <c r="AC103" s="508" t="s">
        <v>804</v>
      </c>
      <c r="AD103" s="972">
        <f t="shared" si="155"/>
        <v>0</v>
      </c>
      <c r="AE103" s="439" t="b">
        <f t="shared" si="156"/>
        <v>0</v>
      </c>
      <c r="AF103" s="440" t="b">
        <f t="shared" si="157"/>
        <v>0</v>
      </c>
      <c r="AG103" s="976" t="str">
        <f t="shared" si="158"/>
        <v/>
      </c>
      <c r="AH103" s="508">
        <f t="shared" si="159"/>
        <v>0</v>
      </c>
      <c r="AI103" s="446">
        <v>2</v>
      </c>
      <c r="AJ103" s="248">
        <f t="shared" si="160"/>
        <v>2</v>
      </c>
      <c r="AK103" s="249">
        <f t="shared" si="161"/>
        <v>0</v>
      </c>
      <c r="AU103" s="247">
        <f t="shared" si="122"/>
        <v>96</v>
      </c>
      <c r="AV103" s="1331" t="str">
        <f>AU103&amp;" "&amp;IF(AX103&lt;&gt;"-",'【様式2】職員名簿 '!B139&amp;"/"&amp;AW103&amp;"/"&amp;AX103,"")</f>
        <v xml:space="preserve">96 </v>
      </c>
      <c r="AW103" s="1331">
        <f>'【様式2】職員名簿 '!F139</f>
        <v>0</v>
      </c>
      <c r="AX103" s="1331" t="str">
        <f>IF('【様式2】職員名簿 '!K139="エラー","-",IF(AND('【様式2】職員名簿 '!C139=$AX$3,'【様式2】職員名簿 '!K139=$AX$4),$AX$3,'【様式2】職員名簿 '!K139))</f>
        <v>-</v>
      </c>
      <c r="AY103" s="783">
        <f>IF($AW103="常勤",$AN$2,IF($AW103="非常勤",'【様式2】職員名簿 '!H139,0))</f>
        <v>0</v>
      </c>
      <c r="AZ103" s="406">
        <f>IF($AX103=AZ$3,COUNTIF($AX$8:$AX103,AZ$3),0)</f>
        <v>0</v>
      </c>
      <c r="BA103" s="788" t="str">
        <f t="shared" si="92"/>
        <v/>
      </c>
      <c r="BB103" s="247">
        <f>IF(OR($AX103=BB$3,$AX103=BB$4),COUNTIF($AX$8:$AX103,BB$3)+COUNTIF($AX$8:$AX103,BB$4),0)</f>
        <v>0</v>
      </c>
      <c r="BC103" s="788" t="str">
        <f t="shared" si="93"/>
        <v/>
      </c>
      <c r="BD103" s="407">
        <f>IF(OR($AX103=$BD$4,$AX103=BD$3),COUNTIFS($AX$8:$AX103,BD$3,$AW$8:$AW103,BD$5)+COUNTIFS($AX$8:$AX103,BD$4,$AW$8:$AW103,BD$5),0)</f>
        <v>0</v>
      </c>
      <c r="BE103" s="788" t="str">
        <f t="shared" si="94"/>
        <v/>
      </c>
      <c r="BF103" s="248">
        <f>IF($AX103=BF$3,COUNTIF($AX$8:$AX103,BF$3),0)</f>
        <v>0</v>
      </c>
      <c r="BG103" s="788" t="str">
        <f t="shared" si="95"/>
        <v/>
      </c>
      <c r="BH103" s="247">
        <f>IF(OR($AX103=BH$3,$AX103=BH$4),COUNTIF($AX$8:$AX103,BH$3)+COUNTIF($AX$8:$AX103,BH$4),0)</f>
        <v>0</v>
      </c>
      <c r="BI103" s="788" t="str">
        <f t="shared" si="96"/>
        <v/>
      </c>
      <c r="BJ103" s="247">
        <f>IF($AX103=BJ$4,COUNTIFS($AW$8:$AW103,BJ$3,$AX$8:$AX103,BJ$4),0)</f>
        <v>0</v>
      </c>
      <c r="BK103" s="788" t="str">
        <f t="shared" si="97"/>
        <v/>
      </c>
      <c r="BL103" s="247">
        <f>IF($AX103=BL$3,COUNTIF($AX$8:$AX103,BL$3),0)</f>
        <v>0</v>
      </c>
      <c r="BM103" s="788" t="str">
        <f t="shared" si="98"/>
        <v/>
      </c>
      <c r="BN103" s="247">
        <f>IF($AX103=BN$3,COUNTIF($AX$8:$AX103,BN$3),0)</f>
        <v>0</v>
      </c>
      <c r="BO103" s="788" t="str">
        <f t="shared" si="99"/>
        <v/>
      </c>
      <c r="BP103" s="247">
        <f>IF($AX103&lt;&gt;BP$3,COUNTIF($AX$8:$AX103,"&lt;&gt;"&amp;BP$3),0)</f>
        <v>0</v>
      </c>
      <c r="BQ103" s="788" t="str">
        <f t="shared" si="100"/>
        <v/>
      </c>
      <c r="BR103" s="247">
        <f>IF($AX103=BR$3,COUNTIF($AX$8:$AX103,BR$3),0)</f>
        <v>0</v>
      </c>
      <c r="BS103" s="788" t="str">
        <f t="shared" si="101"/>
        <v/>
      </c>
      <c r="BT103" s="312"/>
      <c r="BU103" s="312"/>
    </row>
    <row r="104" spans="1:73" ht="15" hidden="1" customHeight="1" outlineLevel="1">
      <c r="A104" s="1589"/>
      <c r="B104" s="2722"/>
      <c r="C104" s="2723"/>
      <c r="D104" s="2773" t="str">
        <f t="shared" si="162"/>
        <v>調理員</v>
      </c>
      <c r="E104" s="2774"/>
      <c r="F104" s="2775"/>
      <c r="G104" s="2776"/>
      <c r="H104" s="2776"/>
      <c r="I104" s="896" t="str">
        <f t="shared" si="149"/>
        <v/>
      </c>
      <c r="J104" s="798" t="str">
        <f t="shared" si="163"/>
        <v/>
      </c>
      <c r="K104" s="1071"/>
      <c r="L104" s="511" t="str">
        <f t="shared" si="150"/>
        <v/>
      </c>
      <c r="M104" s="512">
        <f t="shared" si="151"/>
        <v>0</v>
      </c>
      <c r="N104" s="2708"/>
      <c r="O104" s="2709"/>
      <c r="P104" s="136"/>
      <c r="Q104" s="312"/>
      <c r="R104" s="312"/>
      <c r="S104" s="312"/>
      <c r="T104" s="446" t="str">
        <f t="shared" si="166"/>
        <v>調理員</v>
      </c>
      <c r="U104" s="988">
        <f t="shared" si="153"/>
        <v>0</v>
      </c>
      <c r="V104" s="976">
        <v>2</v>
      </c>
      <c r="W104" s="976" t="b">
        <f t="shared" si="164"/>
        <v>0</v>
      </c>
      <c r="X104" s="439" t="b">
        <f t="shared" ca="1" si="165"/>
        <v>0</v>
      </c>
      <c r="Y104" s="507" t="b">
        <f>COUNTIF($AD$30:AD103,AD104)+COUNTIF(AD105:$AD$147,AD104)-COUNTIF(Z104:AC104,AD104)=0</f>
        <v>0</v>
      </c>
      <c r="Z104" s="508" t="s">
        <v>804</v>
      </c>
      <c r="AA104" s="508" t="s">
        <v>804</v>
      </c>
      <c r="AB104" s="508" t="s">
        <v>804</v>
      </c>
      <c r="AC104" s="508" t="s">
        <v>804</v>
      </c>
      <c r="AD104" s="972">
        <f t="shared" si="155"/>
        <v>0</v>
      </c>
      <c r="AE104" s="439" t="b">
        <f t="shared" si="156"/>
        <v>0</v>
      </c>
      <c r="AF104" s="440" t="b">
        <f t="shared" si="157"/>
        <v>0</v>
      </c>
      <c r="AG104" s="976" t="str">
        <f t="shared" si="158"/>
        <v/>
      </c>
      <c r="AH104" s="508">
        <f t="shared" si="159"/>
        <v>0</v>
      </c>
      <c r="AI104" s="446">
        <v>2</v>
      </c>
      <c r="AJ104" s="248">
        <f t="shared" si="160"/>
        <v>2</v>
      </c>
      <c r="AK104" s="249">
        <f t="shared" si="161"/>
        <v>0</v>
      </c>
      <c r="AU104" s="247">
        <f t="shared" si="122"/>
        <v>97</v>
      </c>
      <c r="AV104" s="1331" t="str">
        <f>AU104&amp;" "&amp;IF(AX104&lt;&gt;"-",'【様式2】職員名簿 '!B140&amp;"/"&amp;AW104&amp;"/"&amp;AX104,"")</f>
        <v xml:space="preserve">97 </v>
      </c>
      <c r="AW104" s="1331">
        <f>'【様式2】職員名簿 '!F140</f>
        <v>0</v>
      </c>
      <c r="AX104" s="1331" t="str">
        <f>IF('【様式2】職員名簿 '!K140="エラー","-",IF(AND('【様式2】職員名簿 '!C140=$AX$3,'【様式2】職員名簿 '!K140=$AX$4),$AX$3,'【様式2】職員名簿 '!K140))</f>
        <v>-</v>
      </c>
      <c r="AY104" s="783">
        <f>IF($AW104="常勤",$AN$2,IF($AW104="非常勤",'【様式2】職員名簿 '!H140,0))</f>
        <v>0</v>
      </c>
      <c r="AZ104" s="406">
        <f>IF($AX104=AZ$3,COUNTIF($AX$8:$AX104,AZ$3),0)</f>
        <v>0</v>
      </c>
      <c r="BA104" s="788" t="str">
        <f t="shared" si="92"/>
        <v/>
      </c>
      <c r="BB104" s="247">
        <f>IF(OR($AX104=BB$3,$AX104=BB$4),COUNTIF($AX$8:$AX104,BB$3)+COUNTIF($AX$8:$AX104,BB$4),0)</f>
        <v>0</v>
      </c>
      <c r="BC104" s="788" t="str">
        <f t="shared" si="93"/>
        <v/>
      </c>
      <c r="BD104" s="407">
        <f>IF(OR($AX104=$BD$4,$AX104=BD$3),COUNTIFS($AX$8:$AX104,BD$3,$AW$8:$AW104,BD$5)+COUNTIFS($AX$8:$AX104,BD$4,$AW$8:$AW104,BD$5),0)</f>
        <v>0</v>
      </c>
      <c r="BE104" s="788" t="str">
        <f t="shared" si="94"/>
        <v/>
      </c>
      <c r="BF104" s="248">
        <f>IF($AX104=BF$3,COUNTIF($AX$8:$AX104,BF$3),0)</f>
        <v>0</v>
      </c>
      <c r="BG104" s="788" t="str">
        <f t="shared" si="95"/>
        <v/>
      </c>
      <c r="BH104" s="247">
        <f>IF(OR($AX104=BH$3,$AX104=BH$4),COUNTIF($AX$8:$AX104,BH$3)+COUNTIF($AX$8:$AX104,BH$4),0)</f>
        <v>0</v>
      </c>
      <c r="BI104" s="788" t="str">
        <f t="shared" si="96"/>
        <v/>
      </c>
      <c r="BJ104" s="247">
        <f>IF($AX104=BJ$4,COUNTIFS($AW$8:$AW104,BJ$3,$AX$8:$AX104,BJ$4),0)</f>
        <v>0</v>
      </c>
      <c r="BK104" s="788" t="str">
        <f t="shared" si="97"/>
        <v/>
      </c>
      <c r="BL104" s="247">
        <f>IF($AX104=BL$3,COUNTIF($AX$8:$AX104,BL$3),0)</f>
        <v>0</v>
      </c>
      <c r="BM104" s="788" t="str">
        <f t="shared" si="98"/>
        <v/>
      </c>
      <c r="BN104" s="247">
        <f>IF($AX104=BN$3,COUNTIF($AX$8:$AX104,BN$3),0)</f>
        <v>0</v>
      </c>
      <c r="BO104" s="788" t="str">
        <f t="shared" si="99"/>
        <v/>
      </c>
      <c r="BP104" s="247">
        <f>IF($AX104&lt;&gt;BP$3,COUNTIF($AX$8:$AX104,"&lt;&gt;"&amp;BP$3),0)</f>
        <v>0</v>
      </c>
      <c r="BQ104" s="788" t="str">
        <f t="shared" si="100"/>
        <v/>
      </c>
      <c r="BR104" s="247">
        <f>IF($AX104=BR$3,COUNTIF($AX$8:$AX104,BR$3),0)</f>
        <v>0</v>
      </c>
      <c r="BS104" s="788" t="str">
        <f t="shared" si="101"/>
        <v/>
      </c>
      <c r="BT104" s="312"/>
      <c r="BU104" s="312"/>
    </row>
    <row r="105" spans="1:73" ht="15" customHeight="1" collapsed="1">
      <c r="A105" s="1583" t="s">
        <v>1213</v>
      </c>
      <c r="B105" s="2738"/>
      <c r="C105" s="1585"/>
      <c r="D105" s="2769" t="str">
        <f t="shared" si="162"/>
        <v>保育教諭</v>
      </c>
      <c r="E105" s="2770"/>
      <c r="F105" s="2771"/>
      <c r="G105" s="2772"/>
      <c r="H105" s="2772"/>
      <c r="I105" s="901" t="str">
        <f t="shared" si="149"/>
        <v/>
      </c>
      <c r="J105" s="910" t="str">
        <f t="shared" si="163"/>
        <v/>
      </c>
      <c r="K105" s="1072"/>
      <c r="L105" s="513" t="str">
        <f t="shared" si="150"/>
        <v/>
      </c>
      <c r="M105" s="514">
        <f t="shared" si="151"/>
        <v>0</v>
      </c>
      <c r="N105" s="2704">
        <f>SUM(M105:M114)</f>
        <v>0</v>
      </c>
      <c r="O105" s="2705"/>
      <c r="P105" s="136"/>
      <c r="Q105" s="312"/>
      <c r="R105" s="312"/>
      <c r="S105" s="312"/>
      <c r="T105" s="976" t="str">
        <f t="shared" ref="T105:T121" si="167">$BC$6</f>
        <v>保育教諭</v>
      </c>
      <c r="U105" s="988">
        <f t="shared" si="153"/>
        <v>0</v>
      </c>
      <c r="V105" s="976">
        <v>2</v>
      </c>
      <c r="W105" s="976" t="b">
        <f t="shared" si="164"/>
        <v>0</v>
      </c>
      <c r="X105" s="439" t="b">
        <f t="shared" ca="1" si="165"/>
        <v>0</v>
      </c>
      <c r="Y105" s="507" t="b">
        <f>COUNTIF($AD$30:AD104,AD105)+COUNTIF(AD106:$AD$147,AD105)-COUNTIF(Z105:AC105,AD105)=0</f>
        <v>0</v>
      </c>
      <c r="Z105" s="508" t="s">
        <v>804</v>
      </c>
      <c r="AA105" s="508" t="s">
        <v>804</v>
      </c>
      <c r="AB105" s="508" t="s">
        <v>804</v>
      </c>
      <c r="AC105" s="508" t="s">
        <v>804</v>
      </c>
      <c r="AD105" s="972">
        <f t="shared" si="155"/>
        <v>0</v>
      </c>
      <c r="AE105" s="439" t="b">
        <f t="shared" si="156"/>
        <v>0</v>
      </c>
      <c r="AF105" s="440" t="b">
        <f t="shared" si="157"/>
        <v>0</v>
      </c>
      <c r="AG105" s="976" t="str">
        <f t="shared" si="158"/>
        <v/>
      </c>
      <c r="AH105" s="508">
        <f t="shared" si="159"/>
        <v>0</v>
      </c>
      <c r="AI105" s="446">
        <v>2</v>
      </c>
      <c r="AJ105" s="248">
        <f t="shared" si="160"/>
        <v>2</v>
      </c>
      <c r="AK105" s="249">
        <f t="shared" si="161"/>
        <v>0</v>
      </c>
      <c r="AU105" s="247">
        <f t="shared" si="122"/>
        <v>98</v>
      </c>
      <c r="AV105" s="1331" t="str">
        <f>AU105&amp;" "&amp;IF(AX105&lt;&gt;"-",'【様式2】職員名簿 '!B141&amp;"/"&amp;AW105&amp;"/"&amp;AX105,"")</f>
        <v xml:space="preserve">98 </v>
      </c>
      <c r="AW105" s="1331">
        <f>'【様式2】職員名簿 '!F141</f>
        <v>0</v>
      </c>
      <c r="AX105" s="1331" t="str">
        <f>IF('【様式2】職員名簿 '!K141="エラー","-",IF(AND('【様式2】職員名簿 '!C141=$AX$3,'【様式2】職員名簿 '!K141=$AX$4),$AX$3,'【様式2】職員名簿 '!K141))</f>
        <v>-</v>
      </c>
      <c r="AY105" s="783">
        <f>IF($AW105="常勤",$AN$2,IF($AW105="非常勤",'【様式2】職員名簿 '!H141,0))</f>
        <v>0</v>
      </c>
      <c r="AZ105" s="406">
        <f>IF($AX105=AZ$3,COUNTIF($AX$8:$AX105,AZ$3),0)</f>
        <v>0</v>
      </c>
      <c r="BA105" s="788" t="str">
        <f t="shared" si="92"/>
        <v/>
      </c>
      <c r="BB105" s="247">
        <f>IF(OR($AX105=BB$3,$AX105=BB$4),COUNTIF($AX$8:$AX105,BB$3)+COUNTIF($AX$8:$AX105,BB$4),0)</f>
        <v>0</v>
      </c>
      <c r="BC105" s="788" t="str">
        <f t="shared" si="93"/>
        <v/>
      </c>
      <c r="BD105" s="407">
        <f>IF(OR($AX105=$BD$4,$AX105=BD$3),COUNTIFS($AX$8:$AX105,BD$3,$AW$8:$AW105,BD$5)+COUNTIFS($AX$8:$AX105,BD$4,$AW$8:$AW105,BD$5),0)</f>
        <v>0</v>
      </c>
      <c r="BE105" s="788" t="str">
        <f t="shared" si="94"/>
        <v/>
      </c>
      <c r="BF105" s="248">
        <f>IF($AX105=BF$3,COUNTIF($AX$8:$AX105,BF$3),0)</f>
        <v>0</v>
      </c>
      <c r="BG105" s="788" t="str">
        <f t="shared" si="95"/>
        <v/>
      </c>
      <c r="BH105" s="247">
        <f>IF(OR($AX105=BH$3,$AX105=BH$4),COUNTIF($AX$8:$AX105,BH$3)+COUNTIF($AX$8:$AX105,BH$4),0)</f>
        <v>0</v>
      </c>
      <c r="BI105" s="788" t="str">
        <f t="shared" si="96"/>
        <v/>
      </c>
      <c r="BJ105" s="247">
        <f>IF($AX105=BJ$4,COUNTIFS($AW$8:$AW105,BJ$3,$AX$8:$AX105,BJ$4),0)</f>
        <v>0</v>
      </c>
      <c r="BK105" s="788" t="str">
        <f t="shared" si="97"/>
        <v/>
      </c>
      <c r="BL105" s="247">
        <f>IF($AX105=BL$3,COUNTIF($AX$8:$AX105,BL$3),0)</f>
        <v>0</v>
      </c>
      <c r="BM105" s="788" t="str">
        <f t="shared" si="98"/>
        <v/>
      </c>
      <c r="BN105" s="247">
        <f>IF($AX105=BN$3,COUNTIF($AX$8:$AX105,BN$3),0)</f>
        <v>0</v>
      </c>
      <c r="BO105" s="788" t="str">
        <f t="shared" si="99"/>
        <v/>
      </c>
      <c r="BP105" s="247">
        <f>IF($AX105&lt;&gt;BP$3,COUNTIF($AX$8:$AX105,"&lt;&gt;"&amp;BP$3),0)</f>
        <v>0</v>
      </c>
      <c r="BQ105" s="788" t="str">
        <f t="shared" si="100"/>
        <v/>
      </c>
      <c r="BR105" s="247">
        <f>IF($AX105=BR$3,COUNTIF($AX$8:$AX105,BR$3),0)</f>
        <v>0</v>
      </c>
      <c r="BS105" s="788" t="str">
        <f t="shared" si="101"/>
        <v/>
      </c>
      <c r="BT105" s="312"/>
      <c r="BU105" s="312"/>
    </row>
    <row r="106" spans="1:73" ht="15" customHeight="1">
      <c r="A106" s="1586"/>
      <c r="B106" s="1587"/>
      <c r="C106" s="1588"/>
      <c r="D106" s="2739" t="str">
        <f t="shared" si="162"/>
        <v>保育教諭</v>
      </c>
      <c r="E106" s="2740"/>
      <c r="F106" s="2678"/>
      <c r="G106" s="2741"/>
      <c r="H106" s="2741"/>
      <c r="I106" s="890" t="str">
        <f t="shared" si="149"/>
        <v/>
      </c>
      <c r="J106" s="447" t="str">
        <f t="shared" si="163"/>
        <v/>
      </c>
      <c r="K106" s="1068"/>
      <c r="L106" s="509" t="str">
        <f t="shared" si="150"/>
        <v/>
      </c>
      <c r="M106" s="483">
        <f t="shared" si="151"/>
        <v>0</v>
      </c>
      <c r="N106" s="2706"/>
      <c r="O106" s="2707"/>
      <c r="P106" s="136"/>
      <c r="Q106" s="312"/>
      <c r="R106" s="312"/>
      <c r="S106" s="312"/>
      <c r="T106" s="976" t="str">
        <f t="shared" si="167"/>
        <v>保育教諭</v>
      </c>
      <c r="U106" s="988">
        <f t="shared" si="153"/>
        <v>0</v>
      </c>
      <c r="V106" s="976">
        <v>2</v>
      </c>
      <c r="W106" s="976" t="b">
        <f t="shared" si="164"/>
        <v>0</v>
      </c>
      <c r="X106" s="439" t="b">
        <f t="shared" ca="1" si="165"/>
        <v>0</v>
      </c>
      <c r="Y106" s="507" t="b">
        <f>COUNTIF($AD$30:AD105,AD106)+COUNTIF(AD107:$AD$147,AD106)-COUNTIF(Z106:AC106,AD106)=0</f>
        <v>0</v>
      </c>
      <c r="Z106" s="508" t="s">
        <v>804</v>
      </c>
      <c r="AA106" s="508" t="s">
        <v>804</v>
      </c>
      <c r="AB106" s="508" t="s">
        <v>804</v>
      </c>
      <c r="AC106" s="508" t="s">
        <v>804</v>
      </c>
      <c r="AD106" s="972">
        <f t="shared" si="155"/>
        <v>0</v>
      </c>
      <c r="AE106" s="439" t="b">
        <f t="shared" si="156"/>
        <v>0</v>
      </c>
      <c r="AF106" s="440" t="b">
        <f t="shared" si="157"/>
        <v>0</v>
      </c>
      <c r="AG106" s="976" t="str">
        <f t="shared" si="158"/>
        <v/>
      </c>
      <c r="AH106" s="508">
        <f t="shared" si="159"/>
        <v>0</v>
      </c>
      <c r="AI106" s="446">
        <v>2</v>
      </c>
      <c r="AJ106" s="248">
        <f t="shared" si="160"/>
        <v>2</v>
      </c>
      <c r="AK106" s="249">
        <f t="shared" si="161"/>
        <v>0</v>
      </c>
      <c r="AU106" s="247">
        <f t="shared" si="122"/>
        <v>99</v>
      </c>
      <c r="AV106" s="1331" t="str">
        <f>AU106&amp;" "&amp;IF(AX106&lt;&gt;"-",'【様式2】職員名簿 '!B142&amp;"/"&amp;AW106&amp;"/"&amp;AX106,"")</f>
        <v xml:space="preserve">99 </v>
      </c>
      <c r="AW106" s="1331">
        <f>'【様式2】職員名簿 '!F142</f>
        <v>0</v>
      </c>
      <c r="AX106" s="1331" t="str">
        <f>IF('【様式2】職員名簿 '!K142="エラー","-",IF(AND('【様式2】職員名簿 '!C142=$AX$3,'【様式2】職員名簿 '!K142=$AX$4),$AX$3,'【様式2】職員名簿 '!K142))</f>
        <v>-</v>
      </c>
      <c r="AY106" s="783">
        <f>IF($AW106="常勤",$AN$2,IF($AW106="非常勤",'【様式2】職員名簿 '!H142,0))</f>
        <v>0</v>
      </c>
      <c r="AZ106" s="406">
        <f>IF($AX106=AZ$3,COUNTIF($AX$8:$AX106,AZ$3),0)</f>
        <v>0</v>
      </c>
      <c r="BA106" s="788" t="str">
        <f t="shared" si="92"/>
        <v/>
      </c>
      <c r="BB106" s="247">
        <f>IF(OR($AX106=BB$3,$AX106=BB$4),COUNTIF($AX$8:$AX106,BB$3)+COUNTIF($AX$8:$AX106,BB$4),0)</f>
        <v>0</v>
      </c>
      <c r="BC106" s="788" t="str">
        <f t="shared" si="93"/>
        <v/>
      </c>
      <c r="BD106" s="407">
        <f>IF(OR($AX106=$BD$4,$AX106=BD$3),COUNTIFS($AX$8:$AX106,BD$3,$AW$8:$AW106,BD$5)+COUNTIFS($AX$8:$AX106,BD$4,$AW$8:$AW106,BD$5),0)</f>
        <v>0</v>
      </c>
      <c r="BE106" s="788" t="str">
        <f t="shared" si="94"/>
        <v/>
      </c>
      <c r="BF106" s="248">
        <f>IF($AX106=BF$3,COUNTIF($AX$8:$AX106,BF$3),0)</f>
        <v>0</v>
      </c>
      <c r="BG106" s="788" t="str">
        <f t="shared" si="95"/>
        <v/>
      </c>
      <c r="BH106" s="247">
        <f>IF(OR($AX106=BH$3,$AX106=BH$4),COUNTIF($AX$8:$AX106,BH$3)+COUNTIF($AX$8:$AX106,BH$4),0)</f>
        <v>0</v>
      </c>
      <c r="BI106" s="788" t="str">
        <f t="shared" si="96"/>
        <v/>
      </c>
      <c r="BJ106" s="247">
        <f>IF($AX106=BJ$4,COUNTIFS($AW$8:$AW106,BJ$3,$AX$8:$AX106,BJ$4),0)</f>
        <v>0</v>
      </c>
      <c r="BK106" s="788" t="str">
        <f t="shared" si="97"/>
        <v/>
      </c>
      <c r="BL106" s="247">
        <f>IF($AX106=BL$3,COUNTIF($AX$8:$AX106,BL$3),0)</f>
        <v>0</v>
      </c>
      <c r="BM106" s="788" t="str">
        <f t="shared" si="98"/>
        <v/>
      </c>
      <c r="BN106" s="247">
        <f>IF($AX106=BN$3,COUNTIF($AX$8:$AX106,BN$3),0)</f>
        <v>0</v>
      </c>
      <c r="BO106" s="788" t="str">
        <f t="shared" si="99"/>
        <v/>
      </c>
      <c r="BP106" s="247">
        <f>IF($AX106&lt;&gt;BP$3,COUNTIF($AX$8:$AX106,"&lt;&gt;"&amp;BP$3),0)</f>
        <v>0</v>
      </c>
      <c r="BQ106" s="788" t="str">
        <f t="shared" si="100"/>
        <v/>
      </c>
      <c r="BR106" s="247">
        <f>IF($AX106=BR$3,COUNTIF($AX$8:$AX106,BR$3),0)</f>
        <v>0</v>
      </c>
      <c r="BS106" s="788" t="str">
        <f t="shared" si="101"/>
        <v/>
      </c>
      <c r="BT106" s="312"/>
      <c r="BU106" s="312"/>
    </row>
    <row r="107" spans="1:73" ht="15" customHeight="1">
      <c r="A107" s="1586"/>
      <c r="B107" s="1587"/>
      <c r="C107" s="1588"/>
      <c r="D107" s="2739" t="str">
        <f t="shared" si="162"/>
        <v>保育教諭</v>
      </c>
      <c r="E107" s="2740"/>
      <c r="F107" s="2678"/>
      <c r="G107" s="2741"/>
      <c r="H107" s="2741"/>
      <c r="I107" s="890" t="str">
        <f t="shared" si="149"/>
        <v/>
      </c>
      <c r="J107" s="447" t="str">
        <f t="shared" si="163"/>
        <v/>
      </c>
      <c r="K107" s="1068"/>
      <c r="L107" s="509" t="str">
        <f t="shared" si="150"/>
        <v/>
      </c>
      <c r="M107" s="483">
        <f t="shared" si="151"/>
        <v>0</v>
      </c>
      <c r="N107" s="2706"/>
      <c r="O107" s="2707"/>
      <c r="P107" s="136"/>
      <c r="Q107" s="312"/>
      <c r="R107" s="312"/>
      <c r="S107" s="312"/>
      <c r="T107" s="976" t="str">
        <f t="shared" si="167"/>
        <v>保育教諭</v>
      </c>
      <c r="U107" s="988">
        <f t="shared" si="153"/>
        <v>0</v>
      </c>
      <c r="V107" s="976">
        <v>2</v>
      </c>
      <c r="W107" s="976" t="b">
        <f t="shared" si="164"/>
        <v>0</v>
      </c>
      <c r="X107" s="439" t="b">
        <f t="shared" ca="1" si="165"/>
        <v>0</v>
      </c>
      <c r="Y107" s="507" t="b">
        <f>COUNTIF($AD$30:AD106,AD107)+COUNTIF(AD108:$AD$147,AD107)-COUNTIF(Z107:AC107,AD107)=0</f>
        <v>0</v>
      </c>
      <c r="Z107" s="508" t="s">
        <v>804</v>
      </c>
      <c r="AA107" s="508" t="s">
        <v>804</v>
      </c>
      <c r="AB107" s="508" t="s">
        <v>804</v>
      </c>
      <c r="AC107" s="508" t="s">
        <v>804</v>
      </c>
      <c r="AD107" s="972">
        <f t="shared" si="155"/>
        <v>0</v>
      </c>
      <c r="AE107" s="439" t="b">
        <f t="shared" si="156"/>
        <v>0</v>
      </c>
      <c r="AF107" s="440" t="b">
        <f t="shared" si="157"/>
        <v>0</v>
      </c>
      <c r="AG107" s="976" t="str">
        <f t="shared" si="158"/>
        <v/>
      </c>
      <c r="AH107" s="508">
        <f t="shared" si="159"/>
        <v>0</v>
      </c>
      <c r="AI107" s="446">
        <v>2</v>
      </c>
      <c r="AJ107" s="248">
        <f t="shared" si="160"/>
        <v>2</v>
      </c>
      <c r="AK107" s="249">
        <f t="shared" si="161"/>
        <v>0</v>
      </c>
      <c r="AU107" s="247">
        <f t="shared" si="122"/>
        <v>100</v>
      </c>
      <c r="AV107" s="1331" t="str">
        <f>AU107&amp;" "&amp;IF(AX107&lt;&gt;"-",'【様式2】職員名簿 '!B143&amp;"/"&amp;AW107&amp;"/"&amp;AX107,"")</f>
        <v xml:space="preserve">100 </v>
      </c>
      <c r="AW107" s="1331">
        <f>'【様式2】職員名簿 '!F143</f>
        <v>0</v>
      </c>
      <c r="AX107" s="1331" t="str">
        <f>IF('【様式2】職員名簿 '!K143="エラー","-",IF(AND('【様式2】職員名簿 '!C143=$AX$3,'【様式2】職員名簿 '!K143=$AX$4),$AX$3,'【様式2】職員名簿 '!K143))</f>
        <v>-</v>
      </c>
      <c r="AY107" s="783">
        <f>IF($AW107="常勤",$AN$2,IF($AW107="非常勤",'【様式2】職員名簿 '!H143,0))</f>
        <v>0</v>
      </c>
      <c r="AZ107" s="406">
        <f>IF($AX107=AZ$3,COUNTIF($AX$8:$AX107,AZ$3),0)</f>
        <v>0</v>
      </c>
      <c r="BA107" s="788" t="str">
        <f t="shared" si="92"/>
        <v/>
      </c>
      <c r="BB107" s="247">
        <f>IF(OR($AX107=BB$3,$AX107=BB$4),COUNTIF($AX$8:$AX107,BB$3)+COUNTIF($AX$8:$AX107,BB$4),0)</f>
        <v>0</v>
      </c>
      <c r="BC107" s="788" t="str">
        <f t="shared" si="93"/>
        <v/>
      </c>
      <c r="BD107" s="407">
        <f>IF(OR($AX107=$BD$4,$AX107=BD$3),COUNTIFS($AX$8:$AX107,BD$3,$AW$8:$AW107,BD$5)+COUNTIFS($AX$8:$AX107,BD$4,$AW$8:$AW107,BD$5),0)</f>
        <v>0</v>
      </c>
      <c r="BE107" s="788" t="str">
        <f t="shared" si="94"/>
        <v/>
      </c>
      <c r="BF107" s="248">
        <f>IF($AX107=BF$3,COUNTIF($AX$8:$AX107,BF$3),0)</f>
        <v>0</v>
      </c>
      <c r="BG107" s="788" t="str">
        <f t="shared" si="95"/>
        <v/>
      </c>
      <c r="BH107" s="247">
        <f>IF(OR($AX107=BH$3,$AX107=BH$4),COUNTIF($AX$8:$AX107,BH$3)+COUNTIF($AX$8:$AX107,BH$4),0)</f>
        <v>0</v>
      </c>
      <c r="BI107" s="788" t="str">
        <f t="shared" si="96"/>
        <v/>
      </c>
      <c r="BJ107" s="247">
        <f>IF($AX107=BJ$4,COUNTIFS($AW$8:$AW107,BJ$3,$AX$8:$AX107,BJ$4),0)</f>
        <v>0</v>
      </c>
      <c r="BK107" s="788" t="str">
        <f t="shared" si="97"/>
        <v/>
      </c>
      <c r="BL107" s="247">
        <f>IF($AX107=BL$3,COUNTIF($AX$8:$AX107,BL$3),0)</f>
        <v>0</v>
      </c>
      <c r="BM107" s="788" t="str">
        <f t="shared" si="98"/>
        <v/>
      </c>
      <c r="BN107" s="247">
        <f>IF($AX107=BN$3,COUNTIF($AX$8:$AX107,BN$3),0)</f>
        <v>0</v>
      </c>
      <c r="BO107" s="788" t="str">
        <f t="shared" si="99"/>
        <v/>
      </c>
      <c r="BP107" s="247">
        <f>IF($AX107&lt;&gt;BP$3,COUNTIF($AX$8:$AX107,"&lt;&gt;"&amp;BP$3),0)</f>
        <v>0</v>
      </c>
      <c r="BQ107" s="788" t="str">
        <f t="shared" si="100"/>
        <v/>
      </c>
      <c r="BR107" s="247">
        <f>IF($AX107=BR$3,COUNTIF($AX$8:$AX107,BR$3),0)</f>
        <v>0</v>
      </c>
      <c r="BS107" s="788" t="str">
        <f t="shared" si="101"/>
        <v/>
      </c>
      <c r="BT107" s="312"/>
      <c r="BU107" s="312"/>
    </row>
    <row r="108" spans="1:73" ht="15" customHeight="1" thickBot="1">
      <c r="A108" s="1586"/>
      <c r="B108" s="1587"/>
      <c r="C108" s="1588"/>
      <c r="D108" s="2739" t="str">
        <f t="shared" si="162"/>
        <v>保育教諭</v>
      </c>
      <c r="E108" s="2740"/>
      <c r="F108" s="2678"/>
      <c r="G108" s="2741"/>
      <c r="H108" s="2741"/>
      <c r="I108" s="890" t="str">
        <f t="shared" si="149"/>
        <v/>
      </c>
      <c r="J108" s="447" t="str">
        <f t="shared" si="163"/>
        <v/>
      </c>
      <c r="K108" s="1068"/>
      <c r="L108" s="509" t="str">
        <f t="shared" si="150"/>
        <v/>
      </c>
      <c r="M108" s="483">
        <f t="shared" si="151"/>
        <v>0</v>
      </c>
      <c r="N108" s="2706"/>
      <c r="O108" s="2707"/>
      <c r="P108" s="136"/>
      <c r="Q108" s="312"/>
      <c r="R108" s="312"/>
      <c r="S108" s="312"/>
      <c r="T108" s="976" t="str">
        <f t="shared" si="167"/>
        <v>保育教諭</v>
      </c>
      <c r="U108" s="988">
        <f t="shared" si="153"/>
        <v>0</v>
      </c>
      <c r="V108" s="976">
        <v>2</v>
      </c>
      <c r="W108" s="976" t="b">
        <f t="shared" si="164"/>
        <v>0</v>
      </c>
      <c r="X108" s="439" t="b">
        <f t="shared" ca="1" si="165"/>
        <v>0</v>
      </c>
      <c r="Y108" s="507" t="b">
        <f>COUNTIF($AD$30:AD107,AD108)+COUNTIF(AD109:$AD$147,AD108)-COUNTIF(Z108:AC108,AD108)=0</f>
        <v>0</v>
      </c>
      <c r="Z108" s="508" t="s">
        <v>804</v>
      </c>
      <c r="AA108" s="508" t="s">
        <v>804</v>
      </c>
      <c r="AB108" s="508" t="s">
        <v>804</v>
      </c>
      <c r="AC108" s="508" t="s">
        <v>804</v>
      </c>
      <c r="AD108" s="972">
        <f t="shared" si="155"/>
        <v>0</v>
      </c>
      <c r="AE108" s="439" t="b">
        <f t="shared" si="156"/>
        <v>0</v>
      </c>
      <c r="AF108" s="440" t="b">
        <f t="shared" si="157"/>
        <v>0</v>
      </c>
      <c r="AG108" s="976" t="str">
        <f t="shared" si="158"/>
        <v/>
      </c>
      <c r="AH108" s="508">
        <f t="shared" si="159"/>
        <v>0</v>
      </c>
      <c r="AI108" s="446">
        <v>2</v>
      </c>
      <c r="AJ108" s="248">
        <f t="shared" si="160"/>
        <v>2</v>
      </c>
      <c r="AK108" s="249">
        <f t="shared" si="161"/>
        <v>0</v>
      </c>
      <c r="AU108" s="247"/>
      <c r="AV108" s="1331"/>
      <c r="AW108" s="170"/>
      <c r="AX108" s="170"/>
      <c r="AY108" s="783"/>
      <c r="AZ108" s="406"/>
      <c r="BA108" s="789"/>
      <c r="BB108" s="247"/>
      <c r="BC108" s="789"/>
      <c r="BD108" s="407"/>
      <c r="BE108" s="789"/>
      <c r="BF108" s="248"/>
      <c r="BG108" s="789"/>
      <c r="BH108" s="247"/>
      <c r="BI108" s="789"/>
      <c r="BJ108" s="247"/>
      <c r="BK108" s="788"/>
      <c r="BL108" s="247"/>
      <c r="BM108" s="789"/>
      <c r="BN108" s="247"/>
      <c r="BO108" s="789"/>
      <c r="BP108" s="247"/>
      <c r="BQ108" s="789"/>
      <c r="BR108" s="247"/>
      <c r="BS108" s="788"/>
      <c r="BT108" s="312"/>
      <c r="BU108" s="312"/>
    </row>
    <row r="109" spans="1:73" ht="15" customHeight="1" thickTop="1">
      <c r="A109" s="1586"/>
      <c r="B109" s="1587"/>
      <c r="C109" s="1588"/>
      <c r="D109" s="2739" t="str">
        <f t="shared" si="162"/>
        <v>保育教諭</v>
      </c>
      <c r="E109" s="2740"/>
      <c r="F109" s="2678"/>
      <c r="G109" s="2741"/>
      <c r="H109" s="2741"/>
      <c r="I109" s="890" t="str">
        <f t="shared" si="149"/>
        <v/>
      </c>
      <c r="J109" s="447" t="str">
        <f t="shared" si="163"/>
        <v/>
      </c>
      <c r="K109" s="1068"/>
      <c r="L109" s="509" t="str">
        <f t="shared" si="150"/>
        <v/>
      </c>
      <c r="M109" s="483">
        <f t="shared" si="151"/>
        <v>0</v>
      </c>
      <c r="N109" s="2706"/>
      <c r="O109" s="2707"/>
      <c r="P109" s="136"/>
      <c r="Q109" s="312"/>
      <c r="R109" s="312"/>
      <c r="S109" s="312"/>
      <c r="T109" s="976" t="str">
        <f t="shared" si="167"/>
        <v>保育教諭</v>
      </c>
      <c r="U109" s="988">
        <f t="shared" si="153"/>
        <v>0</v>
      </c>
      <c r="V109" s="976">
        <v>2</v>
      </c>
      <c r="W109" s="976" t="b">
        <f t="shared" si="164"/>
        <v>0</v>
      </c>
      <c r="X109" s="439" t="b">
        <f t="shared" ca="1" si="165"/>
        <v>0</v>
      </c>
      <c r="Y109" s="507" t="b">
        <f>COUNTIF($AD$30:AD108,AD109)+COUNTIF(AD110:$AD$147,AD109)-COUNTIF(Z109:AC109,AD109)=0</f>
        <v>0</v>
      </c>
      <c r="Z109" s="508" t="s">
        <v>804</v>
      </c>
      <c r="AA109" s="508" t="s">
        <v>804</v>
      </c>
      <c r="AB109" s="508" t="s">
        <v>804</v>
      </c>
      <c r="AC109" s="508" t="s">
        <v>804</v>
      </c>
      <c r="AD109" s="972">
        <f t="shared" si="155"/>
        <v>0</v>
      </c>
      <c r="AE109" s="439" t="b">
        <f t="shared" si="156"/>
        <v>0</v>
      </c>
      <c r="AF109" s="440" t="b">
        <f t="shared" si="157"/>
        <v>0</v>
      </c>
      <c r="AG109" s="976" t="str">
        <f t="shared" si="158"/>
        <v/>
      </c>
      <c r="AH109" s="508">
        <f t="shared" si="159"/>
        <v>0</v>
      </c>
      <c r="AI109" s="446">
        <v>2</v>
      </c>
      <c r="AJ109" s="248">
        <f t="shared" si="160"/>
        <v>2</v>
      </c>
      <c r="AK109" s="249">
        <f t="shared" si="161"/>
        <v>0</v>
      </c>
    </row>
    <row r="110" spans="1:73" ht="15" customHeight="1">
      <c r="A110" s="1586"/>
      <c r="B110" s="1587"/>
      <c r="C110" s="1588"/>
      <c r="D110" s="2739" t="str">
        <f t="shared" si="162"/>
        <v>保育教諭</v>
      </c>
      <c r="E110" s="2740"/>
      <c r="F110" s="2678"/>
      <c r="G110" s="2741"/>
      <c r="H110" s="2741"/>
      <c r="I110" s="890" t="str">
        <f t="shared" ref="I110:I114" si="168">IF(OR(NOT(W110),U110=0),"","【"&amp;U110&amp;"h】")</f>
        <v/>
      </c>
      <c r="J110" s="447" t="str">
        <f t="shared" ref="J110:J114" si="169">IF(OR(F110=0,F110=""),"",IF(W110,IF(X110,IF(OR(Y110,V110=3),IF(AE110,IF(OR(AF110,V110=2,V110=3),"○","要常勤"),"時間無"),"重複"),"名簿無"),"対象外"))</f>
        <v/>
      </c>
      <c r="K110" s="1068"/>
      <c r="L110" s="509" t="str">
        <f t="shared" si="150"/>
        <v/>
      </c>
      <c r="M110" s="483">
        <f t="shared" si="151"/>
        <v>0</v>
      </c>
      <c r="N110" s="2706"/>
      <c r="O110" s="2707"/>
      <c r="P110" s="136"/>
      <c r="Q110" s="312"/>
      <c r="R110" s="312"/>
      <c r="S110" s="312"/>
      <c r="T110" s="976" t="str">
        <f t="shared" si="167"/>
        <v>保育教諭</v>
      </c>
      <c r="U110" s="988">
        <f t="shared" si="153"/>
        <v>0</v>
      </c>
      <c r="V110" s="976">
        <v>2</v>
      </c>
      <c r="W110" s="976" t="b">
        <f t="shared" ref="W110:W114" si="170">ISTEXT(F110)</f>
        <v>0</v>
      </c>
      <c r="X110" s="439" t="b">
        <f t="shared" ref="X110:X114" ca="1" si="171">COUNTIF(INDIRECT(T110),F110)&gt;0</f>
        <v>0</v>
      </c>
      <c r="Y110" s="507" t="b">
        <f>COUNTIF($AD$30:AD109,AD110)+COUNTIF(AD111:$AD$147,AD110)-COUNTIF(Z110:AC110,AD110)=0</f>
        <v>0</v>
      </c>
      <c r="Z110" s="508" t="s">
        <v>804</v>
      </c>
      <c r="AA110" s="508" t="s">
        <v>804</v>
      </c>
      <c r="AB110" s="508" t="s">
        <v>804</v>
      </c>
      <c r="AC110" s="508" t="s">
        <v>804</v>
      </c>
      <c r="AD110" s="972">
        <f t="shared" si="155"/>
        <v>0</v>
      </c>
      <c r="AE110" s="439" t="b">
        <f t="shared" ref="AE110:AE114" si="172">U110&gt;0</f>
        <v>0</v>
      </c>
      <c r="AF110" s="440" t="b">
        <f t="shared" si="157"/>
        <v>0</v>
      </c>
      <c r="AG110" s="976" t="str">
        <f t="shared" si="158"/>
        <v/>
      </c>
      <c r="AH110" s="508">
        <f t="shared" ref="AH110:AH114" si="173">M110</f>
        <v>0</v>
      </c>
      <c r="AI110" s="446">
        <v>2</v>
      </c>
      <c r="AJ110" s="248">
        <f t="shared" si="160"/>
        <v>2</v>
      </c>
      <c r="AK110" s="249">
        <f t="shared" ref="AK110:AK114" si="174">IF(AJ110=1,$AM$3,IF(AJ110=5,$AM$4,IF(AJ110=2,IF(K110="-",U110,K110),IF(AJ110=3,U110,"×"))))</f>
        <v>0</v>
      </c>
    </row>
    <row r="111" spans="1:73" ht="15" customHeight="1">
      <c r="A111" s="1586"/>
      <c r="B111" s="1587"/>
      <c r="C111" s="1588"/>
      <c r="D111" s="2739" t="str">
        <f t="shared" si="162"/>
        <v>保育教諭</v>
      </c>
      <c r="E111" s="2740"/>
      <c r="F111" s="2678"/>
      <c r="G111" s="2741"/>
      <c r="H111" s="2741"/>
      <c r="I111" s="890" t="str">
        <f t="shared" si="168"/>
        <v/>
      </c>
      <c r="J111" s="447" t="str">
        <f t="shared" si="169"/>
        <v/>
      </c>
      <c r="K111" s="1068"/>
      <c r="L111" s="509" t="str">
        <f t="shared" si="150"/>
        <v/>
      </c>
      <c r="M111" s="483">
        <f t="shared" si="151"/>
        <v>0</v>
      </c>
      <c r="N111" s="2706"/>
      <c r="O111" s="2707"/>
      <c r="P111" s="136"/>
      <c r="Q111" s="312"/>
      <c r="R111" s="312"/>
      <c r="S111" s="312"/>
      <c r="T111" s="976" t="str">
        <f t="shared" si="167"/>
        <v>保育教諭</v>
      </c>
      <c r="U111" s="988">
        <f t="shared" si="153"/>
        <v>0</v>
      </c>
      <c r="V111" s="976">
        <v>2</v>
      </c>
      <c r="W111" s="976" t="b">
        <f t="shared" si="170"/>
        <v>0</v>
      </c>
      <c r="X111" s="439" t="b">
        <f t="shared" ca="1" si="171"/>
        <v>0</v>
      </c>
      <c r="Y111" s="507" t="b">
        <f>COUNTIF($AD$30:AD110,AD111)+COUNTIF(AD112:$AD$147,AD111)-COUNTIF(Z111:AC111,AD111)=0</f>
        <v>0</v>
      </c>
      <c r="Z111" s="508" t="s">
        <v>804</v>
      </c>
      <c r="AA111" s="508" t="s">
        <v>804</v>
      </c>
      <c r="AB111" s="508" t="s">
        <v>804</v>
      </c>
      <c r="AC111" s="508" t="s">
        <v>804</v>
      </c>
      <c r="AD111" s="972">
        <f t="shared" si="155"/>
        <v>0</v>
      </c>
      <c r="AE111" s="439" t="b">
        <f t="shared" si="172"/>
        <v>0</v>
      </c>
      <c r="AF111" s="440" t="b">
        <f t="shared" si="157"/>
        <v>0</v>
      </c>
      <c r="AG111" s="976" t="str">
        <f t="shared" si="158"/>
        <v/>
      </c>
      <c r="AH111" s="508">
        <f t="shared" si="173"/>
        <v>0</v>
      </c>
      <c r="AI111" s="446">
        <v>2</v>
      </c>
      <c r="AJ111" s="248">
        <f t="shared" si="160"/>
        <v>2</v>
      </c>
      <c r="AK111" s="249">
        <f t="shared" si="174"/>
        <v>0</v>
      </c>
    </row>
    <row r="112" spans="1:73" ht="15" customHeight="1">
      <c r="A112" s="1586"/>
      <c r="B112" s="1587"/>
      <c r="C112" s="1588"/>
      <c r="D112" s="2739" t="str">
        <f t="shared" si="162"/>
        <v>保育教諭</v>
      </c>
      <c r="E112" s="2740"/>
      <c r="F112" s="2678"/>
      <c r="G112" s="2741"/>
      <c r="H112" s="2741"/>
      <c r="I112" s="890" t="str">
        <f t="shared" si="168"/>
        <v/>
      </c>
      <c r="J112" s="447" t="str">
        <f t="shared" si="169"/>
        <v/>
      </c>
      <c r="K112" s="1068"/>
      <c r="L112" s="509" t="str">
        <f t="shared" si="150"/>
        <v/>
      </c>
      <c r="M112" s="483">
        <f t="shared" si="151"/>
        <v>0</v>
      </c>
      <c r="N112" s="2706"/>
      <c r="O112" s="2707"/>
      <c r="P112" s="136"/>
      <c r="Q112" s="312"/>
      <c r="R112" s="312"/>
      <c r="S112" s="312"/>
      <c r="T112" s="976" t="str">
        <f t="shared" si="167"/>
        <v>保育教諭</v>
      </c>
      <c r="U112" s="988">
        <f t="shared" si="153"/>
        <v>0</v>
      </c>
      <c r="V112" s="976">
        <v>2</v>
      </c>
      <c r="W112" s="976" t="b">
        <f t="shared" si="170"/>
        <v>0</v>
      </c>
      <c r="X112" s="439" t="b">
        <f t="shared" ca="1" si="171"/>
        <v>0</v>
      </c>
      <c r="Y112" s="507" t="b">
        <f>COUNTIF($AD$30:AD111,AD112)+COUNTIF(AD113:$AD$147,AD112)-COUNTIF(Z112:AC112,AD112)=0</f>
        <v>0</v>
      </c>
      <c r="Z112" s="508" t="s">
        <v>804</v>
      </c>
      <c r="AA112" s="508" t="s">
        <v>804</v>
      </c>
      <c r="AB112" s="508" t="s">
        <v>804</v>
      </c>
      <c r="AC112" s="508" t="s">
        <v>804</v>
      </c>
      <c r="AD112" s="972">
        <f t="shared" si="155"/>
        <v>0</v>
      </c>
      <c r="AE112" s="439" t="b">
        <f t="shared" si="172"/>
        <v>0</v>
      </c>
      <c r="AF112" s="440" t="b">
        <f t="shared" si="157"/>
        <v>0</v>
      </c>
      <c r="AG112" s="976" t="str">
        <f t="shared" si="158"/>
        <v/>
      </c>
      <c r="AH112" s="508">
        <f t="shared" si="173"/>
        <v>0</v>
      </c>
      <c r="AI112" s="446">
        <v>2</v>
      </c>
      <c r="AJ112" s="248">
        <f t="shared" si="160"/>
        <v>2</v>
      </c>
      <c r="AK112" s="249">
        <f t="shared" si="174"/>
        <v>0</v>
      </c>
    </row>
    <row r="113" spans="1:47" ht="15" customHeight="1">
      <c r="A113" s="1586"/>
      <c r="B113" s="1587"/>
      <c r="C113" s="1588"/>
      <c r="D113" s="2739" t="str">
        <f t="shared" si="162"/>
        <v>保育教諭</v>
      </c>
      <c r="E113" s="2740"/>
      <c r="F113" s="2678"/>
      <c r="G113" s="2741"/>
      <c r="H113" s="2741"/>
      <c r="I113" s="890" t="str">
        <f t="shared" si="168"/>
        <v/>
      </c>
      <c r="J113" s="447" t="str">
        <f t="shared" si="169"/>
        <v/>
      </c>
      <c r="K113" s="1068"/>
      <c r="L113" s="509" t="str">
        <f t="shared" si="150"/>
        <v/>
      </c>
      <c r="M113" s="483">
        <f t="shared" si="151"/>
        <v>0</v>
      </c>
      <c r="N113" s="2706"/>
      <c r="O113" s="2707"/>
      <c r="P113" s="136"/>
      <c r="Q113" s="312"/>
      <c r="R113" s="312"/>
      <c r="S113" s="312"/>
      <c r="T113" s="976" t="str">
        <f t="shared" si="167"/>
        <v>保育教諭</v>
      </c>
      <c r="U113" s="988">
        <f t="shared" si="153"/>
        <v>0</v>
      </c>
      <c r="V113" s="976">
        <v>2</v>
      </c>
      <c r="W113" s="976" t="b">
        <f t="shared" si="170"/>
        <v>0</v>
      </c>
      <c r="X113" s="439" t="b">
        <f t="shared" ca="1" si="171"/>
        <v>0</v>
      </c>
      <c r="Y113" s="507" t="b">
        <f>COUNTIF($AD$30:AD112,AD113)+COUNTIF(AD114:$AD$147,AD113)-COUNTIF(Z113:AC113,AD113)=0</f>
        <v>0</v>
      </c>
      <c r="Z113" s="508" t="s">
        <v>804</v>
      </c>
      <c r="AA113" s="508" t="s">
        <v>804</v>
      </c>
      <c r="AB113" s="508" t="s">
        <v>804</v>
      </c>
      <c r="AC113" s="508" t="s">
        <v>804</v>
      </c>
      <c r="AD113" s="972">
        <f t="shared" si="155"/>
        <v>0</v>
      </c>
      <c r="AE113" s="439" t="b">
        <f t="shared" si="172"/>
        <v>0</v>
      </c>
      <c r="AF113" s="440" t="b">
        <f t="shared" si="157"/>
        <v>0</v>
      </c>
      <c r="AG113" s="976" t="str">
        <f t="shared" si="158"/>
        <v/>
      </c>
      <c r="AH113" s="508">
        <f t="shared" si="173"/>
        <v>0</v>
      </c>
      <c r="AI113" s="446">
        <v>2</v>
      </c>
      <c r="AJ113" s="248">
        <f t="shared" si="160"/>
        <v>2</v>
      </c>
      <c r="AK113" s="249">
        <f t="shared" si="174"/>
        <v>0</v>
      </c>
    </row>
    <row r="114" spans="1:47" ht="15" customHeight="1">
      <c r="A114" s="1589"/>
      <c r="B114" s="1424"/>
      <c r="C114" s="1590"/>
      <c r="D114" s="2773" t="str">
        <f t="shared" si="162"/>
        <v>保育教諭</v>
      </c>
      <c r="E114" s="2774"/>
      <c r="F114" s="2775"/>
      <c r="G114" s="2776"/>
      <c r="H114" s="2776"/>
      <c r="I114" s="896" t="str">
        <f t="shared" si="168"/>
        <v/>
      </c>
      <c r="J114" s="798" t="str">
        <f t="shared" si="169"/>
        <v/>
      </c>
      <c r="K114" s="1071"/>
      <c r="L114" s="511" t="str">
        <f t="shared" si="150"/>
        <v/>
      </c>
      <c r="M114" s="512">
        <f t="shared" si="151"/>
        <v>0</v>
      </c>
      <c r="N114" s="2708"/>
      <c r="O114" s="2709"/>
      <c r="P114" s="136"/>
      <c r="Q114" s="312"/>
      <c r="R114" s="312"/>
      <c r="S114" s="312"/>
      <c r="T114" s="976" t="str">
        <f t="shared" si="167"/>
        <v>保育教諭</v>
      </c>
      <c r="U114" s="988">
        <f t="shared" si="153"/>
        <v>0</v>
      </c>
      <c r="V114" s="976">
        <v>2</v>
      </c>
      <c r="W114" s="976" t="b">
        <f t="shared" si="170"/>
        <v>0</v>
      </c>
      <c r="X114" s="439" t="b">
        <f t="shared" ca="1" si="171"/>
        <v>0</v>
      </c>
      <c r="Y114" s="507" t="b">
        <f>COUNTIF($AD$30:AD113,AD114)+COUNTIF(AD115:$AD$147,AD114)-COUNTIF(Z114:AC114,AD114)=0</f>
        <v>0</v>
      </c>
      <c r="Z114" s="508" t="s">
        <v>804</v>
      </c>
      <c r="AA114" s="508" t="s">
        <v>804</v>
      </c>
      <c r="AB114" s="508" t="s">
        <v>804</v>
      </c>
      <c r="AC114" s="508" t="s">
        <v>804</v>
      </c>
      <c r="AD114" s="972">
        <f t="shared" si="155"/>
        <v>0</v>
      </c>
      <c r="AE114" s="439" t="b">
        <f t="shared" si="172"/>
        <v>0</v>
      </c>
      <c r="AF114" s="440" t="b">
        <f t="shared" si="157"/>
        <v>0</v>
      </c>
      <c r="AG114" s="976" t="str">
        <f t="shared" si="158"/>
        <v/>
      </c>
      <c r="AH114" s="508">
        <f t="shared" si="173"/>
        <v>0</v>
      </c>
      <c r="AI114" s="446">
        <v>2</v>
      </c>
      <c r="AJ114" s="248">
        <f t="shared" si="160"/>
        <v>2</v>
      </c>
      <c r="AK114" s="249">
        <f t="shared" si="174"/>
        <v>0</v>
      </c>
    </row>
    <row r="115" spans="1:47" ht="15" customHeight="1">
      <c r="A115" s="2742" t="s">
        <v>989</v>
      </c>
      <c r="B115" s="1682"/>
      <c r="C115" s="1683"/>
      <c r="D115" s="2769" t="str">
        <f t="shared" si="162"/>
        <v>保育教諭</v>
      </c>
      <c r="E115" s="2770"/>
      <c r="F115" s="2771"/>
      <c r="G115" s="2772"/>
      <c r="H115" s="2772"/>
      <c r="I115" s="901" t="str">
        <f t="shared" si="149"/>
        <v/>
      </c>
      <c r="J115" s="910" t="str">
        <f t="shared" si="163"/>
        <v/>
      </c>
      <c r="K115" s="1072"/>
      <c r="L115" s="513" t="str">
        <f t="shared" si="150"/>
        <v/>
      </c>
      <c r="M115" s="514">
        <f t="shared" si="151"/>
        <v>0</v>
      </c>
      <c r="N115" s="2704">
        <f>SUM(M115:M124)</f>
        <v>0</v>
      </c>
      <c r="O115" s="2705"/>
      <c r="P115" s="136"/>
      <c r="Q115" s="312"/>
      <c r="R115" s="312"/>
      <c r="S115" s="312"/>
      <c r="T115" s="976" t="str">
        <f t="shared" si="167"/>
        <v>保育教諭</v>
      </c>
      <c r="U115" s="988">
        <f t="shared" si="153"/>
        <v>0</v>
      </c>
      <c r="V115" s="976">
        <v>2</v>
      </c>
      <c r="W115" s="976" t="b">
        <f t="shared" si="164"/>
        <v>0</v>
      </c>
      <c r="X115" s="439" t="b">
        <f t="shared" ca="1" si="165"/>
        <v>0</v>
      </c>
      <c r="Y115" s="507" t="b">
        <f>COUNTIF($AD$30:AD114,AD115)+COUNTIF(AD116:$AD$147,AD115)-COUNTIF(Z115:AC115,AD115)=0</f>
        <v>0</v>
      </c>
      <c r="Z115" s="508" t="s">
        <v>804</v>
      </c>
      <c r="AA115" s="508" t="s">
        <v>804</v>
      </c>
      <c r="AB115" s="508" t="s">
        <v>804</v>
      </c>
      <c r="AC115" s="508" t="s">
        <v>804</v>
      </c>
      <c r="AD115" s="972">
        <f t="shared" si="155"/>
        <v>0</v>
      </c>
      <c r="AE115" s="439" t="b">
        <f t="shared" si="156"/>
        <v>0</v>
      </c>
      <c r="AF115" s="440" t="b">
        <f t="shared" si="157"/>
        <v>0</v>
      </c>
      <c r="AG115" s="976" t="str">
        <f t="shared" si="158"/>
        <v/>
      </c>
      <c r="AH115" s="508">
        <f t="shared" si="159"/>
        <v>0</v>
      </c>
      <c r="AI115" s="446">
        <v>2</v>
      </c>
      <c r="AJ115" s="248">
        <f t="shared" si="160"/>
        <v>2</v>
      </c>
      <c r="AK115" s="249">
        <f t="shared" si="161"/>
        <v>0</v>
      </c>
    </row>
    <row r="116" spans="1:47" ht="15" customHeight="1">
      <c r="A116" s="1614"/>
      <c r="B116" s="1603"/>
      <c r="C116" s="1766"/>
      <c r="D116" s="2739" t="str">
        <f t="shared" si="162"/>
        <v>保育教諭</v>
      </c>
      <c r="E116" s="2740"/>
      <c r="F116" s="2678"/>
      <c r="G116" s="2741"/>
      <c r="H116" s="2741"/>
      <c r="I116" s="890" t="str">
        <f t="shared" si="149"/>
        <v/>
      </c>
      <c r="J116" s="447" t="str">
        <f t="shared" si="163"/>
        <v/>
      </c>
      <c r="K116" s="1068"/>
      <c r="L116" s="509" t="str">
        <f t="shared" si="150"/>
        <v/>
      </c>
      <c r="M116" s="483">
        <f t="shared" si="151"/>
        <v>0</v>
      </c>
      <c r="N116" s="2706"/>
      <c r="O116" s="2707"/>
      <c r="P116" s="136"/>
      <c r="Q116" s="312"/>
      <c r="R116" s="312"/>
      <c r="S116" s="312"/>
      <c r="T116" s="976" t="str">
        <f t="shared" si="167"/>
        <v>保育教諭</v>
      </c>
      <c r="U116" s="988">
        <f t="shared" si="153"/>
        <v>0</v>
      </c>
      <c r="V116" s="976">
        <v>2</v>
      </c>
      <c r="W116" s="976" t="b">
        <f t="shared" si="164"/>
        <v>0</v>
      </c>
      <c r="X116" s="439" t="b">
        <f t="shared" ca="1" si="165"/>
        <v>0</v>
      </c>
      <c r="Y116" s="507" t="b">
        <f>COUNTIF($AD$30:AD115,AD116)+COUNTIF(AD117:$AD$147,AD116)-COUNTIF(Z116:AC116,AD116)=0</f>
        <v>0</v>
      </c>
      <c r="Z116" s="508" t="s">
        <v>804</v>
      </c>
      <c r="AA116" s="508" t="s">
        <v>804</v>
      </c>
      <c r="AB116" s="508" t="s">
        <v>804</v>
      </c>
      <c r="AC116" s="508" t="s">
        <v>804</v>
      </c>
      <c r="AD116" s="972">
        <f t="shared" si="155"/>
        <v>0</v>
      </c>
      <c r="AE116" s="439" t="b">
        <f t="shared" si="156"/>
        <v>0</v>
      </c>
      <c r="AF116" s="440" t="b">
        <f t="shared" si="157"/>
        <v>0</v>
      </c>
      <c r="AG116" s="976" t="str">
        <f t="shared" si="158"/>
        <v/>
      </c>
      <c r="AH116" s="508">
        <f t="shared" si="159"/>
        <v>0</v>
      </c>
      <c r="AI116" s="446">
        <v>2</v>
      </c>
      <c r="AJ116" s="248">
        <f t="shared" si="160"/>
        <v>2</v>
      </c>
      <c r="AK116" s="249">
        <f t="shared" si="161"/>
        <v>0</v>
      </c>
    </row>
    <row r="117" spans="1:47" ht="15" customHeight="1">
      <c r="A117" s="1614"/>
      <c r="B117" s="1603"/>
      <c r="C117" s="1766"/>
      <c r="D117" s="2739" t="str">
        <f t="shared" si="162"/>
        <v>保育教諭</v>
      </c>
      <c r="E117" s="2740"/>
      <c r="F117" s="2678"/>
      <c r="G117" s="2741"/>
      <c r="H117" s="2741"/>
      <c r="I117" s="890" t="str">
        <f t="shared" si="149"/>
        <v/>
      </c>
      <c r="J117" s="447" t="str">
        <f t="shared" si="163"/>
        <v/>
      </c>
      <c r="K117" s="1068"/>
      <c r="L117" s="509" t="str">
        <f t="shared" si="150"/>
        <v/>
      </c>
      <c r="M117" s="483">
        <f t="shared" si="151"/>
        <v>0</v>
      </c>
      <c r="N117" s="2706"/>
      <c r="O117" s="2707"/>
      <c r="P117" s="136"/>
      <c r="Q117" s="312"/>
      <c r="R117" s="312"/>
      <c r="S117" s="312"/>
      <c r="T117" s="976" t="str">
        <f t="shared" si="167"/>
        <v>保育教諭</v>
      </c>
      <c r="U117" s="988">
        <f t="shared" si="153"/>
        <v>0</v>
      </c>
      <c r="V117" s="976">
        <v>2</v>
      </c>
      <c r="W117" s="976" t="b">
        <f t="shared" si="164"/>
        <v>0</v>
      </c>
      <c r="X117" s="439" t="b">
        <f t="shared" ca="1" si="165"/>
        <v>0</v>
      </c>
      <c r="Y117" s="507" t="b">
        <f>COUNTIF($AD$30:AD116,AD117)+COUNTIF(AD118:$AD$147,AD117)-COUNTIF(Z117:AC117,AD117)=0</f>
        <v>0</v>
      </c>
      <c r="Z117" s="508" t="s">
        <v>804</v>
      </c>
      <c r="AA117" s="508" t="s">
        <v>804</v>
      </c>
      <c r="AB117" s="508" t="s">
        <v>804</v>
      </c>
      <c r="AC117" s="508" t="s">
        <v>804</v>
      </c>
      <c r="AD117" s="972">
        <f t="shared" si="155"/>
        <v>0</v>
      </c>
      <c r="AE117" s="439" t="b">
        <f t="shared" si="156"/>
        <v>0</v>
      </c>
      <c r="AF117" s="440" t="b">
        <f t="shared" si="157"/>
        <v>0</v>
      </c>
      <c r="AG117" s="976" t="str">
        <f t="shared" si="158"/>
        <v/>
      </c>
      <c r="AH117" s="508">
        <f t="shared" si="159"/>
        <v>0</v>
      </c>
      <c r="AI117" s="446">
        <v>2</v>
      </c>
      <c r="AJ117" s="248">
        <f t="shared" si="160"/>
        <v>2</v>
      </c>
      <c r="AK117" s="249">
        <f t="shared" si="161"/>
        <v>0</v>
      </c>
    </row>
    <row r="118" spans="1:47" ht="15" customHeight="1">
      <c r="A118" s="1614"/>
      <c r="B118" s="1603"/>
      <c r="C118" s="1766"/>
      <c r="D118" s="2739" t="str">
        <f t="shared" si="162"/>
        <v>保育教諭</v>
      </c>
      <c r="E118" s="2740"/>
      <c r="F118" s="2678"/>
      <c r="G118" s="2741"/>
      <c r="H118" s="2741"/>
      <c r="I118" s="890" t="str">
        <f t="shared" si="149"/>
        <v/>
      </c>
      <c r="J118" s="447" t="str">
        <f t="shared" si="163"/>
        <v/>
      </c>
      <c r="K118" s="1068"/>
      <c r="L118" s="509" t="str">
        <f t="shared" si="150"/>
        <v/>
      </c>
      <c r="M118" s="483">
        <f t="shared" si="151"/>
        <v>0</v>
      </c>
      <c r="N118" s="2706"/>
      <c r="O118" s="2707"/>
      <c r="P118" s="136"/>
      <c r="Q118" s="312"/>
      <c r="R118" s="312"/>
      <c r="S118" s="312"/>
      <c r="T118" s="976" t="str">
        <f t="shared" si="167"/>
        <v>保育教諭</v>
      </c>
      <c r="U118" s="988">
        <f t="shared" si="153"/>
        <v>0</v>
      </c>
      <c r="V118" s="976">
        <v>2</v>
      </c>
      <c r="W118" s="976" t="b">
        <f t="shared" si="164"/>
        <v>0</v>
      </c>
      <c r="X118" s="439" t="b">
        <f t="shared" ca="1" si="165"/>
        <v>0</v>
      </c>
      <c r="Y118" s="507" t="b">
        <f>COUNTIF($AD$30:AD117,AD118)+COUNTIF(AD119:$AD$147,AD118)-COUNTIF(Z118:AC118,AD118)=0</f>
        <v>0</v>
      </c>
      <c r="Z118" s="508" t="s">
        <v>804</v>
      </c>
      <c r="AA118" s="508" t="s">
        <v>804</v>
      </c>
      <c r="AB118" s="508" t="s">
        <v>804</v>
      </c>
      <c r="AC118" s="508" t="s">
        <v>804</v>
      </c>
      <c r="AD118" s="972">
        <f t="shared" si="155"/>
        <v>0</v>
      </c>
      <c r="AE118" s="439" t="b">
        <f t="shared" si="156"/>
        <v>0</v>
      </c>
      <c r="AF118" s="440" t="b">
        <f t="shared" si="157"/>
        <v>0</v>
      </c>
      <c r="AG118" s="976" t="str">
        <f t="shared" si="158"/>
        <v/>
      </c>
      <c r="AH118" s="508">
        <f t="shared" si="159"/>
        <v>0</v>
      </c>
      <c r="AI118" s="446">
        <v>2</v>
      </c>
      <c r="AJ118" s="248">
        <f t="shared" si="160"/>
        <v>2</v>
      </c>
      <c r="AK118" s="249">
        <f t="shared" si="161"/>
        <v>0</v>
      </c>
      <c r="AU118" s="461"/>
    </row>
    <row r="119" spans="1:47" ht="15" customHeight="1">
      <c r="A119" s="1614"/>
      <c r="B119" s="1603"/>
      <c r="C119" s="1766"/>
      <c r="D119" s="2739" t="str">
        <f t="shared" si="162"/>
        <v>保育教諭</v>
      </c>
      <c r="E119" s="2740"/>
      <c r="F119" s="2678"/>
      <c r="G119" s="2741"/>
      <c r="H119" s="2741"/>
      <c r="I119" s="890" t="str">
        <f t="shared" si="149"/>
        <v/>
      </c>
      <c r="J119" s="447" t="str">
        <f t="shared" si="163"/>
        <v/>
      </c>
      <c r="K119" s="1068"/>
      <c r="L119" s="509" t="str">
        <f t="shared" si="150"/>
        <v/>
      </c>
      <c r="M119" s="483">
        <f t="shared" si="151"/>
        <v>0</v>
      </c>
      <c r="N119" s="2706"/>
      <c r="O119" s="2707"/>
      <c r="P119" s="136"/>
      <c r="Q119" s="312"/>
      <c r="R119" s="312"/>
      <c r="S119" s="312"/>
      <c r="T119" s="976" t="str">
        <f t="shared" si="167"/>
        <v>保育教諭</v>
      </c>
      <c r="U119" s="988">
        <f t="shared" si="153"/>
        <v>0</v>
      </c>
      <c r="V119" s="976">
        <v>2</v>
      </c>
      <c r="W119" s="976" t="b">
        <f t="shared" si="164"/>
        <v>0</v>
      </c>
      <c r="X119" s="439" t="b">
        <f t="shared" ca="1" si="165"/>
        <v>0</v>
      </c>
      <c r="Y119" s="507" t="b">
        <f>COUNTIF($AD$30:AD118,AD119)+COUNTIF(AD120:$AD$147,AD119)-COUNTIF(Z119:AC119,AD119)=0</f>
        <v>0</v>
      </c>
      <c r="Z119" s="508" t="s">
        <v>804</v>
      </c>
      <c r="AA119" s="508" t="s">
        <v>804</v>
      </c>
      <c r="AB119" s="508" t="s">
        <v>804</v>
      </c>
      <c r="AC119" s="508" t="s">
        <v>804</v>
      </c>
      <c r="AD119" s="972">
        <f t="shared" si="155"/>
        <v>0</v>
      </c>
      <c r="AE119" s="439" t="b">
        <f t="shared" si="156"/>
        <v>0</v>
      </c>
      <c r="AF119" s="440" t="b">
        <f t="shared" si="157"/>
        <v>0</v>
      </c>
      <c r="AG119" s="976" t="str">
        <f t="shared" si="158"/>
        <v/>
      </c>
      <c r="AH119" s="508">
        <f t="shared" si="159"/>
        <v>0</v>
      </c>
      <c r="AI119" s="446">
        <v>2</v>
      </c>
      <c r="AJ119" s="248">
        <f t="shared" si="160"/>
        <v>2</v>
      </c>
      <c r="AK119" s="249">
        <f t="shared" si="161"/>
        <v>0</v>
      </c>
      <c r="AU119" s="461"/>
    </row>
    <row r="120" spans="1:47" ht="15" customHeight="1">
      <c r="A120" s="1614"/>
      <c r="B120" s="1603"/>
      <c r="C120" s="1766"/>
      <c r="D120" s="2739" t="str">
        <f t="shared" si="162"/>
        <v>保育教諭</v>
      </c>
      <c r="E120" s="2740"/>
      <c r="F120" s="2678"/>
      <c r="G120" s="2741"/>
      <c r="H120" s="2741"/>
      <c r="I120" s="890" t="str">
        <f t="shared" ref="I120:I124" si="175">IF(OR(NOT(W120),U120=0),"","【"&amp;U120&amp;"h】")</f>
        <v/>
      </c>
      <c r="J120" s="447" t="str">
        <f t="shared" ref="J120:J124" si="176">IF(OR(F120=0,F120=""),"",IF(W120,IF(X120,IF(OR(Y120,V120=3),IF(AE120,IF(OR(AF120,V120=2,V120=3),"○","要常勤"),"時間無"),"重複"),"名簿無"),"対象外"))</f>
        <v/>
      </c>
      <c r="K120" s="1068"/>
      <c r="L120" s="509" t="str">
        <f t="shared" si="150"/>
        <v/>
      </c>
      <c r="M120" s="483">
        <f t="shared" si="151"/>
        <v>0</v>
      </c>
      <c r="N120" s="2706"/>
      <c r="O120" s="2707"/>
      <c r="P120" s="136"/>
      <c r="Q120" s="312"/>
      <c r="R120" s="312"/>
      <c r="S120" s="312"/>
      <c r="T120" s="976" t="str">
        <f t="shared" si="167"/>
        <v>保育教諭</v>
      </c>
      <c r="U120" s="988">
        <f t="shared" si="153"/>
        <v>0</v>
      </c>
      <c r="V120" s="976">
        <v>2</v>
      </c>
      <c r="W120" s="976" t="b">
        <f t="shared" ref="W120:W124" si="177">ISTEXT(F120)</f>
        <v>0</v>
      </c>
      <c r="X120" s="439" t="b">
        <f t="shared" ref="X120:X124" ca="1" si="178">COUNTIF(INDIRECT(T120),F120)&gt;0</f>
        <v>0</v>
      </c>
      <c r="Y120" s="507" t="b">
        <f>COUNTIF($AD$30:AD119,AD120)+COUNTIF(AD121:$AD$147,AD120)-COUNTIF(Z120:AC120,AD120)=0</f>
        <v>0</v>
      </c>
      <c r="Z120" s="508" t="s">
        <v>804</v>
      </c>
      <c r="AA120" s="508" t="s">
        <v>804</v>
      </c>
      <c r="AB120" s="508" t="s">
        <v>804</v>
      </c>
      <c r="AC120" s="508" t="s">
        <v>804</v>
      </c>
      <c r="AD120" s="972">
        <f t="shared" si="155"/>
        <v>0</v>
      </c>
      <c r="AE120" s="439" t="b">
        <f t="shared" ref="AE120:AE124" si="179">U120&gt;0</f>
        <v>0</v>
      </c>
      <c r="AF120" s="440" t="b">
        <f t="shared" si="157"/>
        <v>0</v>
      </c>
      <c r="AG120" s="976" t="str">
        <f t="shared" si="158"/>
        <v/>
      </c>
      <c r="AH120" s="508">
        <f t="shared" ref="AH120:AH124" si="180">M120</f>
        <v>0</v>
      </c>
      <c r="AI120" s="446">
        <v>2</v>
      </c>
      <c r="AJ120" s="248">
        <f t="shared" si="160"/>
        <v>2</v>
      </c>
      <c r="AK120" s="249">
        <f t="shared" ref="AK120:AK124" si="181">IF(AJ120=1,$AM$3,IF(AJ120=5,$AM$4,IF(AJ120=2,IF(K120="-",U120,K120),IF(AJ120=3,U120,"×"))))</f>
        <v>0</v>
      </c>
    </row>
    <row r="121" spans="1:47" ht="15" customHeight="1">
      <c r="A121" s="1614"/>
      <c r="B121" s="1603"/>
      <c r="C121" s="1766"/>
      <c r="D121" s="2739" t="str">
        <f t="shared" si="162"/>
        <v>保育教諭</v>
      </c>
      <c r="E121" s="2740"/>
      <c r="F121" s="2678"/>
      <c r="G121" s="2741"/>
      <c r="H121" s="2741"/>
      <c r="I121" s="890" t="str">
        <f t="shared" si="175"/>
        <v/>
      </c>
      <c r="J121" s="447" t="str">
        <f t="shared" si="176"/>
        <v/>
      </c>
      <c r="K121" s="1068"/>
      <c r="L121" s="509" t="str">
        <f t="shared" si="150"/>
        <v/>
      </c>
      <c r="M121" s="483">
        <f t="shared" si="151"/>
        <v>0</v>
      </c>
      <c r="N121" s="2706"/>
      <c r="O121" s="2707"/>
      <c r="P121" s="136"/>
      <c r="Q121" s="312"/>
      <c r="R121" s="312"/>
      <c r="S121" s="312"/>
      <c r="T121" s="976" t="str">
        <f t="shared" si="167"/>
        <v>保育教諭</v>
      </c>
      <c r="U121" s="988">
        <f t="shared" si="153"/>
        <v>0</v>
      </c>
      <c r="V121" s="976">
        <v>2</v>
      </c>
      <c r="W121" s="976" t="b">
        <f t="shared" si="177"/>
        <v>0</v>
      </c>
      <c r="X121" s="439" t="b">
        <f t="shared" ca="1" si="178"/>
        <v>0</v>
      </c>
      <c r="Y121" s="507" t="b">
        <f>COUNTIF($AD$30:AD120,AD121)+COUNTIF(AD122:$AD$147,AD121)-COUNTIF(Z121:AC121,AD121)=0</f>
        <v>0</v>
      </c>
      <c r="Z121" s="508" t="s">
        <v>804</v>
      </c>
      <c r="AA121" s="508" t="s">
        <v>804</v>
      </c>
      <c r="AB121" s="508" t="s">
        <v>804</v>
      </c>
      <c r="AC121" s="508" t="s">
        <v>804</v>
      </c>
      <c r="AD121" s="972">
        <f t="shared" si="155"/>
        <v>0</v>
      </c>
      <c r="AE121" s="439" t="b">
        <f t="shared" si="179"/>
        <v>0</v>
      </c>
      <c r="AF121" s="440" t="b">
        <f t="shared" si="157"/>
        <v>0</v>
      </c>
      <c r="AG121" s="976" t="str">
        <f t="shared" si="158"/>
        <v/>
      </c>
      <c r="AH121" s="508">
        <f t="shared" si="180"/>
        <v>0</v>
      </c>
      <c r="AI121" s="446">
        <v>2</v>
      </c>
      <c r="AJ121" s="248">
        <f t="shared" si="160"/>
        <v>2</v>
      </c>
      <c r="AK121" s="249">
        <f t="shared" si="181"/>
        <v>0</v>
      </c>
    </row>
    <row r="122" spans="1:47" ht="15" customHeight="1">
      <c r="A122" s="1614"/>
      <c r="B122" s="1603"/>
      <c r="C122" s="1766"/>
      <c r="D122" s="2739" t="str">
        <f t="shared" si="162"/>
        <v>全職種</v>
      </c>
      <c r="E122" s="2740"/>
      <c r="F122" s="2678"/>
      <c r="G122" s="2741"/>
      <c r="H122" s="2741"/>
      <c r="I122" s="890" t="str">
        <f t="shared" si="175"/>
        <v/>
      </c>
      <c r="J122" s="447" t="str">
        <f t="shared" si="176"/>
        <v/>
      </c>
      <c r="K122" s="1068"/>
      <c r="L122" s="509" t="str">
        <f t="shared" ref="L122:L146" si="182">IF(AJ122=1,"調整①→",IF(AJ122=5,"調整②→",IF(AJ122=2,"",IF(AJ122=3,"全計上→","エラー"))))</f>
        <v/>
      </c>
      <c r="M122" s="483">
        <f t="shared" si="151"/>
        <v>0</v>
      </c>
      <c r="N122" s="2706"/>
      <c r="O122" s="2707"/>
      <c r="P122" s="136"/>
      <c r="Q122" s="312"/>
      <c r="R122" s="312"/>
      <c r="S122" s="312"/>
      <c r="T122" s="976" t="str">
        <f t="shared" ref="T122:T132" si="183">$BQ$6</f>
        <v>全職種</v>
      </c>
      <c r="U122" s="988">
        <f t="shared" ref="U122:U145" si="184">IFERROR(VLOOKUP($F122,$AV$8:$AY$108,4,FALSE),0)</f>
        <v>0</v>
      </c>
      <c r="V122" s="976">
        <v>2</v>
      </c>
      <c r="W122" s="976" t="b">
        <f t="shared" si="177"/>
        <v>0</v>
      </c>
      <c r="X122" s="439" t="b">
        <f t="shared" ca="1" si="178"/>
        <v>0</v>
      </c>
      <c r="Y122" s="507" t="b">
        <f>COUNTIF($AD$30:AD121,AD122)+COUNTIF(AD123:$AD$147,AD122)-COUNTIF(Z122:AC122,AD122)=0</f>
        <v>0</v>
      </c>
      <c r="Z122" s="508" t="s">
        <v>804</v>
      </c>
      <c r="AA122" s="508" t="s">
        <v>804</v>
      </c>
      <c r="AB122" s="508" t="s">
        <v>804</v>
      </c>
      <c r="AC122" s="508" t="s">
        <v>804</v>
      </c>
      <c r="AD122" s="972">
        <f t="shared" ref="AD122:AD145" si="185">IF(V122=3,0,IFERROR(INDEX($AU$8:$AU$108,MATCH($F122,AV$8:AV$108,0),1),0))</f>
        <v>0</v>
      </c>
      <c r="AE122" s="439" t="b">
        <f t="shared" si="179"/>
        <v>0</v>
      </c>
      <c r="AF122" s="440" t="b">
        <f t="shared" ref="AF122:AF145" si="186">IFERROR(VLOOKUP($F122,$AV$8:$AY$108,2,FALSE),"")="常勤"</f>
        <v>0</v>
      </c>
      <c r="AG122" s="976" t="str">
        <f t="shared" ref="AG122:AG145" si="187">IFERROR(VLOOKUP($F122,$AV$8:$AY$108,3,FALSE),"")</f>
        <v/>
      </c>
      <c r="AH122" s="508">
        <f t="shared" si="180"/>
        <v>0</v>
      </c>
      <c r="AI122" s="446">
        <v>2</v>
      </c>
      <c r="AJ122" s="248">
        <f t="shared" ref="AJ122:AJ146" si="188">IF(AND($W122,$J122="○"),IF($K122="-",IF($U122&lt;IF($AI122=5,$AM$4,$AM$3),$AI122,2),IF($K122=0,IF($U122&lt;IF($AI122=5,$AM$4,$AM$3),IF(OR($AI122=1,$AI122=5),$AI122,3),3),IF(K122&lt;IF($AI122=5,$AM$4,$AM$3),$AI122,IF($K122&gt;$U122,4,2)))),2)</f>
        <v>2</v>
      </c>
      <c r="AK122" s="249">
        <f t="shared" si="181"/>
        <v>0</v>
      </c>
      <c r="AU122" s="461"/>
    </row>
    <row r="123" spans="1:47" ht="15" customHeight="1">
      <c r="A123" s="1614"/>
      <c r="B123" s="1603"/>
      <c r="C123" s="1766"/>
      <c r="D123" s="2739" t="str">
        <f t="shared" si="162"/>
        <v>全職種</v>
      </c>
      <c r="E123" s="2740"/>
      <c r="F123" s="2678"/>
      <c r="G123" s="2741"/>
      <c r="H123" s="2741"/>
      <c r="I123" s="890" t="str">
        <f t="shared" si="175"/>
        <v/>
      </c>
      <c r="J123" s="447" t="str">
        <f t="shared" si="176"/>
        <v/>
      </c>
      <c r="K123" s="1068"/>
      <c r="L123" s="509" t="str">
        <f t="shared" si="182"/>
        <v/>
      </c>
      <c r="M123" s="483">
        <f t="shared" si="151"/>
        <v>0</v>
      </c>
      <c r="N123" s="2706"/>
      <c r="O123" s="2707"/>
      <c r="P123" s="136"/>
      <c r="Q123" s="312"/>
      <c r="R123" s="312"/>
      <c r="S123" s="312"/>
      <c r="T123" s="976" t="str">
        <f t="shared" si="183"/>
        <v>全職種</v>
      </c>
      <c r="U123" s="988">
        <f t="shared" si="184"/>
        <v>0</v>
      </c>
      <c r="V123" s="976">
        <v>2</v>
      </c>
      <c r="W123" s="976" t="b">
        <f t="shared" si="177"/>
        <v>0</v>
      </c>
      <c r="X123" s="439" t="b">
        <f t="shared" ca="1" si="178"/>
        <v>0</v>
      </c>
      <c r="Y123" s="507" t="b">
        <f>COUNTIF($AD$30:AD122,AD123)+COUNTIF(AD124:$AD$147,AD123)-COUNTIF(Z123:AC123,AD123)=0</f>
        <v>0</v>
      </c>
      <c r="Z123" s="508" t="s">
        <v>804</v>
      </c>
      <c r="AA123" s="508" t="s">
        <v>804</v>
      </c>
      <c r="AB123" s="508" t="s">
        <v>804</v>
      </c>
      <c r="AC123" s="508" t="s">
        <v>804</v>
      </c>
      <c r="AD123" s="972">
        <f t="shared" si="185"/>
        <v>0</v>
      </c>
      <c r="AE123" s="439" t="b">
        <f t="shared" si="179"/>
        <v>0</v>
      </c>
      <c r="AF123" s="440" t="b">
        <f t="shared" si="186"/>
        <v>0</v>
      </c>
      <c r="AG123" s="976" t="str">
        <f t="shared" si="187"/>
        <v/>
      </c>
      <c r="AH123" s="508">
        <f t="shared" si="180"/>
        <v>0</v>
      </c>
      <c r="AI123" s="446">
        <v>2</v>
      </c>
      <c r="AJ123" s="248">
        <f t="shared" si="188"/>
        <v>2</v>
      </c>
      <c r="AK123" s="249">
        <f t="shared" si="181"/>
        <v>0</v>
      </c>
      <c r="AU123" s="461"/>
    </row>
    <row r="124" spans="1:47" ht="15" customHeight="1">
      <c r="A124" s="1615"/>
      <c r="B124" s="1580"/>
      <c r="C124" s="1656"/>
      <c r="D124" s="2773" t="str">
        <f t="shared" si="162"/>
        <v>全職種</v>
      </c>
      <c r="E124" s="2774"/>
      <c r="F124" s="2775"/>
      <c r="G124" s="2776"/>
      <c r="H124" s="2776"/>
      <c r="I124" s="896" t="str">
        <f t="shared" si="175"/>
        <v/>
      </c>
      <c r="J124" s="798" t="str">
        <f t="shared" si="176"/>
        <v/>
      </c>
      <c r="K124" s="1071"/>
      <c r="L124" s="511" t="str">
        <f t="shared" si="182"/>
        <v/>
      </c>
      <c r="M124" s="512">
        <f t="shared" si="151"/>
        <v>0</v>
      </c>
      <c r="N124" s="2708"/>
      <c r="O124" s="2709"/>
      <c r="P124" s="136"/>
      <c r="Q124" s="312"/>
      <c r="R124" s="312"/>
      <c r="S124" s="312"/>
      <c r="T124" s="976" t="str">
        <f t="shared" si="183"/>
        <v>全職種</v>
      </c>
      <c r="U124" s="988">
        <f t="shared" si="184"/>
        <v>0</v>
      </c>
      <c r="V124" s="976">
        <v>2</v>
      </c>
      <c r="W124" s="976" t="b">
        <f t="shared" si="177"/>
        <v>0</v>
      </c>
      <c r="X124" s="439" t="b">
        <f t="shared" ca="1" si="178"/>
        <v>0</v>
      </c>
      <c r="Y124" s="507" t="b">
        <f>COUNTIF($AD$30:AD123,AD124)+COUNTIF(AD125:$AD$147,AD124)-COUNTIF(Z124:AC124,AD124)=0</f>
        <v>0</v>
      </c>
      <c r="Z124" s="508" t="s">
        <v>804</v>
      </c>
      <c r="AA124" s="508" t="s">
        <v>804</v>
      </c>
      <c r="AB124" s="508" t="s">
        <v>804</v>
      </c>
      <c r="AC124" s="508" t="s">
        <v>804</v>
      </c>
      <c r="AD124" s="972">
        <f t="shared" si="185"/>
        <v>0</v>
      </c>
      <c r="AE124" s="439" t="b">
        <f t="shared" si="179"/>
        <v>0</v>
      </c>
      <c r="AF124" s="440" t="b">
        <f t="shared" si="186"/>
        <v>0</v>
      </c>
      <c r="AG124" s="976" t="str">
        <f t="shared" si="187"/>
        <v/>
      </c>
      <c r="AH124" s="508">
        <f t="shared" si="180"/>
        <v>0</v>
      </c>
      <c r="AI124" s="446">
        <v>2</v>
      </c>
      <c r="AJ124" s="248">
        <f t="shared" si="188"/>
        <v>2</v>
      </c>
      <c r="AK124" s="249">
        <f t="shared" si="181"/>
        <v>0</v>
      </c>
      <c r="AU124" s="461"/>
    </row>
    <row r="125" spans="1:47" ht="15" customHeight="1">
      <c r="A125" s="2742" t="s">
        <v>844</v>
      </c>
      <c r="B125" s="1682"/>
      <c r="C125" s="1683"/>
      <c r="D125" s="2769" t="str">
        <f t="shared" si="162"/>
        <v>保育教諭</v>
      </c>
      <c r="E125" s="2770"/>
      <c r="F125" s="2771"/>
      <c r="G125" s="2772"/>
      <c r="H125" s="2772"/>
      <c r="I125" s="901" t="str">
        <f t="shared" si="149"/>
        <v/>
      </c>
      <c r="J125" s="910" t="str">
        <f t="shared" si="163"/>
        <v/>
      </c>
      <c r="K125" s="1072"/>
      <c r="L125" s="513" t="str">
        <f t="shared" si="182"/>
        <v/>
      </c>
      <c r="M125" s="514">
        <f t="shared" si="151"/>
        <v>0</v>
      </c>
      <c r="N125" s="2704">
        <f>SUM(M125:M129)</f>
        <v>0</v>
      </c>
      <c r="O125" s="2705"/>
      <c r="P125" s="136"/>
      <c r="Q125" s="312"/>
      <c r="R125" s="312"/>
      <c r="S125" s="312"/>
      <c r="T125" s="976" t="str">
        <f t="shared" ref="T125:T129" si="189">$BC$6</f>
        <v>保育教諭</v>
      </c>
      <c r="U125" s="988">
        <f t="shared" si="184"/>
        <v>0</v>
      </c>
      <c r="V125" s="976">
        <v>2</v>
      </c>
      <c r="W125" s="976" t="b">
        <f t="shared" si="164"/>
        <v>0</v>
      </c>
      <c r="X125" s="439" t="b">
        <f t="shared" ca="1" si="165"/>
        <v>0</v>
      </c>
      <c r="Y125" s="507" t="b">
        <f>COUNTIF($AD$30:AD124,AD125)+COUNTIF(AD126:$AD$147,AD125)-COUNTIF(Z125:AC125,AD125)=0</f>
        <v>0</v>
      </c>
      <c r="Z125" s="508" t="s">
        <v>804</v>
      </c>
      <c r="AA125" s="508" t="s">
        <v>804</v>
      </c>
      <c r="AB125" s="508" t="s">
        <v>804</v>
      </c>
      <c r="AC125" s="508" t="s">
        <v>804</v>
      </c>
      <c r="AD125" s="972">
        <f t="shared" si="185"/>
        <v>0</v>
      </c>
      <c r="AE125" s="439" t="b">
        <f t="shared" si="156"/>
        <v>0</v>
      </c>
      <c r="AF125" s="440" t="b">
        <f t="shared" si="186"/>
        <v>0</v>
      </c>
      <c r="AG125" s="976" t="str">
        <f t="shared" si="187"/>
        <v/>
      </c>
      <c r="AH125" s="508">
        <f t="shared" si="159"/>
        <v>0</v>
      </c>
      <c r="AI125" s="446">
        <v>2</v>
      </c>
      <c r="AJ125" s="248">
        <f t="shared" si="188"/>
        <v>2</v>
      </c>
      <c r="AK125" s="249">
        <f t="shared" si="161"/>
        <v>0</v>
      </c>
      <c r="AU125" s="461"/>
    </row>
    <row r="126" spans="1:47" ht="15" customHeight="1">
      <c r="A126" s="1614"/>
      <c r="B126" s="1603"/>
      <c r="C126" s="1766"/>
      <c r="D126" s="2739" t="str">
        <f t="shared" si="162"/>
        <v>保育教諭</v>
      </c>
      <c r="E126" s="2740"/>
      <c r="F126" s="2678"/>
      <c r="G126" s="2741"/>
      <c r="H126" s="2741"/>
      <c r="I126" s="890" t="str">
        <f t="shared" si="149"/>
        <v/>
      </c>
      <c r="J126" s="447" t="str">
        <f t="shared" si="163"/>
        <v/>
      </c>
      <c r="K126" s="1068"/>
      <c r="L126" s="509" t="str">
        <f t="shared" si="182"/>
        <v/>
      </c>
      <c r="M126" s="483">
        <f t="shared" si="151"/>
        <v>0</v>
      </c>
      <c r="N126" s="2706"/>
      <c r="O126" s="2707"/>
      <c r="P126" s="136"/>
      <c r="Q126" s="312"/>
      <c r="R126" s="312"/>
      <c r="S126" s="312"/>
      <c r="T126" s="976" t="str">
        <f t="shared" si="189"/>
        <v>保育教諭</v>
      </c>
      <c r="U126" s="988">
        <f t="shared" si="184"/>
        <v>0</v>
      </c>
      <c r="V126" s="976">
        <v>2</v>
      </c>
      <c r="W126" s="976" t="b">
        <f t="shared" si="164"/>
        <v>0</v>
      </c>
      <c r="X126" s="439" t="b">
        <f t="shared" ca="1" si="165"/>
        <v>0</v>
      </c>
      <c r="Y126" s="507" t="b">
        <f>COUNTIF($AD$30:AD125,AD126)+COUNTIF(AD127:$AD$147,AD126)-COUNTIF(Z126:AC126,AD126)=0</f>
        <v>0</v>
      </c>
      <c r="Z126" s="508" t="s">
        <v>804</v>
      </c>
      <c r="AA126" s="508" t="s">
        <v>804</v>
      </c>
      <c r="AB126" s="508" t="s">
        <v>804</v>
      </c>
      <c r="AC126" s="508" t="s">
        <v>804</v>
      </c>
      <c r="AD126" s="972">
        <f t="shared" si="185"/>
        <v>0</v>
      </c>
      <c r="AE126" s="439" t="b">
        <f t="shared" si="156"/>
        <v>0</v>
      </c>
      <c r="AF126" s="440" t="b">
        <f t="shared" si="186"/>
        <v>0</v>
      </c>
      <c r="AG126" s="976" t="str">
        <f t="shared" si="187"/>
        <v/>
      </c>
      <c r="AH126" s="508">
        <f t="shared" si="159"/>
        <v>0</v>
      </c>
      <c r="AI126" s="446">
        <v>2</v>
      </c>
      <c r="AJ126" s="248">
        <f t="shared" si="188"/>
        <v>2</v>
      </c>
      <c r="AK126" s="249">
        <f t="shared" si="161"/>
        <v>0</v>
      </c>
    </row>
    <row r="127" spans="1:47" ht="15" customHeight="1">
      <c r="A127" s="1614"/>
      <c r="B127" s="1603"/>
      <c r="C127" s="1766"/>
      <c r="D127" s="2739" t="str">
        <f t="shared" si="162"/>
        <v>保育教諭</v>
      </c>
      <c r="E127" s="2740"/>
      <c r="F127" s="2678"/>
      <c r="G127" s="2741"/>
      <c r="H127" s="2741"/>
      <c r="I127" s="890" t="str">
        <f t="shared" si="149"/>
        <v/>
      </c>
      <c r="J127" s="447" t="str">
        <f t="shared" si="163"/>
        <v/>
      </c>
      <c r="K127" s="1068"/>
      <c r="L127" s="509" t="str">
        <f t="shared" si="182"/>
        <v/>
      </c>
      <c r="M127" s="483">
        <f t="shared" si="151"/>
        <v>0</v>
      </c>
      <c r="N127" s="2706"/>
      <c r="O127" s="2707"/>
      <c r="P127" s="136"/>
      <c r="Q127" s="312"/>
      <c r="R127" s="312"/>
      <c r="S127" s="312"/>
      <c r="T127" s="976" t="str">
        <f t="shared" si="189"/>
        <v>保育教諭</v>
      </c>
      <c r="U127" s="988">
        <f t="shared" si="184"/>
        <v>0</v>
      </c>
      <c r="V127" s="976">
        <v>2</v>
      </c>
      <c r="W127" s="976" t="b">
        <f t="shared" si="164"/>
        <v>0</v>
      </c>
      <c r="X127" s="439" t="b">
        <f t="shared" ca="1" si="165"/>
        <v>0</v>
      </c>
      <c r="Y127" s="507" t="b">
        <f>COUNTIF($AD$30:AD126,AD127)+COUNTIF(AD128:$AD$147,AD127)-COUNTIF(Z127:AC127,AD127)=0</f>
        <v>0</v>
      </c>
      <c r="Z127" s="508" t="s">
        <v>804</v>
      </c>
      <c r="AA127" s="508" t="s">
        <v>804</v>
      </c>
      <c r="AB127" s="508" t="s">
        <v>804</v>
      </c>
      <c r="AC127" s="508" t="s">
        <v>804</v>
      </c>
      <c r="AD127" s="972">
        <f t="shared" si="185"/>
        <v>0</v>
      </c>
      <c r="AE127" s="439" t="b">
        <f t="shared" si="156"/>
        <v>0</v>
      </c>
      <c r="AF127" s="440" t="b">
        <f t="shared" si="186"/>
        <v>0</v>
      </c>
      <c r="AG127" s="976" t="str">
        <f t="shared" si="187"/>
        <v/>
      </c>
      <c r="AH127" s="508">
        <f t="shared" si="159"/>
        <v>0</v>
      </c>
      <c r="AI127" s="446">
        <v>2</v>
      </c>
      <c r="AJ127" s="248">
        <f t="shared" si="188"/>
        <v>2</v>
      </c>
      <c r="AK127" s="249">
        <f t="shared" si="161"/>
        <v>0</v>
      </c>
    </row>
    <row r="128" spans="1:47" ht="15" customHeight="1">
      <c r="A128" s="1614"/>
      <c r="B128" s="1603"/>
      <c r="C128" s="1766"/>
      <c r="D128" s="2739" t="str">
        <f t="shared" si="162"/>
        <v>保育教諭</v>
      </c>
      <c r="E128" s="2740"/>
      <c r="F128" s="2678"/>
      <c r="G128" s="2741"/>
      <c r="H128" s="2741"/>
      <c r="I128" s="890" t="str">
        <f t="shared" si="149"/>
        <v/>
      </c>
      <c r="J128" s="447" t="str">
        <f t="shared" si="163"/>
        <v/>
      </c>
      <c r="K128" s="1068"/>
      <c r="L128" s="509" t="str">
        <f t="shared" si="182"/>
        <v/>
      </c>
      <c r="M128" s="483">
        <f t="shared" si="151"/>
        <v>0</v>
      </c>
      <c r="N128" s="2706"/>
      <c r="O128" s="2707"/>
      <c r="P128" s="136"/>
      <c r="Q128" s="312"/>
      <c r="R128" s="312"/>
      <c r="S128" s="312"/>
      <c r="T128" s="976" t="str">
        <f t="shared" si="189"/>
        <v>保育教諭</v>
      </c>
      <c r="U128" s="988">
        <f t="shared" si="184"/>
        <v>0</v>
      </c>
      <c r="V128" s="976">
        <v>2</v>
      </c>
      <c r="W128" s="976" t="b">
        <f t="shared" si="164"/>
        <v>0</v>
      </c>
      <c r="X128" s="439" t="b">
        <f t="shared" ca="1" si="165"/>
        <v>0</v>
      </c>
      <c r="Y128" s="507" t="b">
        <f>COUNTIF($AD$30:AD127,AD128)+COUNTIF(AD129:$AD$147,AD128)-COUNTIF(Z128:AC128,AD128)=0</f>
        <v>0</v>
      </c>
      <c r="Z128" s="508" t="s">
        <v>804</v>
      </c>
      <c r="AA128" s="508" t="s">
        <v>804</v>
      </c>
      <c r="AB128" s="508" t="s">
        <v>804</v>
      </c>
      <c r="AC128" s="508" t="s">
        <v>804</v>
      </c>
      <c r="AD128" s="972">
        <f t="shared" si="185"/>
        <v>0</v>
      </c>
      <c r="AE128" s="439" t="b">
        <f t="shared" si="156"/>
        <v>0</v>
      </c>
      <c r="AF128" s="440" t="b">
        <f t="shared" si="186"/>
        <v>0</v>
      </c>
      <c r="AG128" s="976" t="str">
        <f t="shared" si="187"/>
        <v/>
      </c>
      <c r="AH128" s="508">
        <f t="shared" si="159"/>
        <v>0</v>
      </c>
      <c r="AI128" s="446">
        <v>2</v>
      </c>
      <c r="AJ128" s="248">
        <f t="shared" si="188"/>
        <v>2</v>
      </c>
      <c r="AK128" s="249">
        <f t="shared" si="161"/>
        <v>0</v>
      </c>
    </row>
    <row r="129" spans="1:47" ht="15" customHeight="1">
      <c r="A129" s="1615"/>
      <c r="B129" s="1580"/>
      <c r="C129" s="1656"/>
      <c r="D129" s="2773" t="str">
        <f t="shared" si="162"/>
        <v>保育教諭</v>
      </c>
      <c r="E129" s="2774"/>
      <c r="F129" s="2775"/>
      <c r="G129" s="2776"/>
      <c r="H129" s="2776"/>
      <c r="I129" s="896" t="str">
        <f t="shared" si="149"/>
        <v/>
      </c>
      <c r="J129" s="798" t="str">
        <f t="shared" si="163"/>
        <v/>
      </c>
      <c r="K129" s="1071"/>
      <c r="L129" s="511" t="str">
        <f t="shared" si="182"/>
        <v/>
      </c>
      <c r="M129" s="512">
        <f t="shared" si="151"/>
        <v>0</v>
      </c>
      <c r="N129" s="2708"/>
      <c r="O129" s="2709"/>
      <c r="P129" s="136"/>
      <c r="Q129" s="312"/>
      <c r="R129" s="312"/>
      <c r="S129" s="312"/>
      <c r="T129" s="976" t="str">
        <f t="shared" si="189"/>
        <v>保育教諭</v>
      </c>
      <c r="U129" s="988">
        <f t="shared" si="184"/>
        <v>0</v>
      </c>
      <c r="V129" s="976">
        <v>2</v>
      </c>
      <c r="W129" s="976" t="b">
        <f t="shared" si="164"/>
        <v>0</v>
      </c>
      <c r="X129" s="439" t="b">
        <f t="shared" ca="1" si="165"/>
        <v>0</v>
      </c>
      <c r="Y129" s="507" t="b">
        <f>COUNTIF($AD$30:AD128,AD129)+COUNTIF(AD130:$AD$147,AD129)-COUNTIF(Z129:AC129,AD129)=0</f>
        <v>0</v>
      </c>
      <c r="Z129" s="508" t="s">
        <v>804</v>
      </c>
      <c r="AA129" s="508" t="s">
        <v>804</v>
      </c>
      <c r="AB129" s="508" t="s">
        <v>804</v>
      </c>
      <c r="AC129" s="508" t="s">
        <v>804</v>
      </c>
      <c r="AD129" s="972">
        <f t="shared" si="185"/>
        <v>0</v>
      </c>
      <c r="AE129" s="439" t="b">
        <f t="shared" si="156"/>
        <v>0</v>
      </c>
      <c r="AF129" s="440" t="b">
        <f t="shared" si="186"/>
        <v>0</v>
      </c>
      <c r="AG129" s="976" t="str">
        <f t="shared" si="187"/>
        <v/>
      </c>
      <c r="AH129" s="508">
        <f t="shared" si="159"/>
        <v>0</v>
      </c>
      <c r="AI129" s="446">
        <v>2</v>
      </c>
      <c r="AJ129" s="248">
        <f t="shared" si="188"/>
        <v>2</v>
      </c>
      <c r="AK129" s="249">
        <f t="shared" si="161"/>
        <v>0</v>
      </c>
    </row>
    <row r="130" spans="1:47" ht="15" customHeight="1">
      <c r="A130" s="1583" t="s">
        <v>845</v>
      </c>
      <c r="B130" s="2738"/>
      <c r="C130" s="1585"/>
      <c r="D130" s="2769" t="str">
        <f t="shared" si="162"/>
        <v>全職種</v>
      </c>
      <c r="E130" s="2770"/>
      <c r="F130" s="2771"/>
      <c r="G130" s="2772"/>
      <c r="H130" s="2772"/>
      <c r="I130" s="901" t="str">
        <f t="shared" si="149"/>
        <v/>
      </c>
      <c r="J130" s="910" t="str">
        <f t="shared" si="163"/>
        <v/>
      </c>
      <c r="K130" s="1072"/>
      <c r="L130" s="513" t="str">
        <f t="shared" si="182"/>
        <v/>
      </c>
      <c r="M130" s="514">
        <f t="shared" si="151"/>
        <v>0</v>
      </c>
      <c r="N130" s="2704">
        <f>SUM(M130:M132)</f>
        <v>0</v>
      </c>
      <c r="O130" s="2705"/>
      <c r="P130" s="136"/>
      <c r="Q130" s="312"/>
      <c r="R130" s="312"/>
      <c r="S130" s="312"/>
      <c r="T130" s="976" t="str">
        <f t="shared" si="183"/>
        <v>全職種</v>
      </c>
      <c r="U130" s="988">
        <f t="shared" si="184"/>
        <v>0</v>
      </c>
      <c r="V130" s="976">
        <v>2</v>
      </c>
      <c r="W130" s="976" t="b">
        <f t="shared" si="164"/>
        <v>0</v>
      </c>
      <c r="X130" s="439" t="b">
        <f t="shared" ca="1" si="165"/>
        <v>0</v>
      </c>
      <c r="Y130" s="507" t="b">
        <f>COUNTIF($AD$30:AD129,AD130)+COUNTIF(AD131:$AD$147,AD130)-COUNTIF(Z130:AC130,AD130)=0</f>
        <v>0</v>
      </c>
      <c r="Z130" s="508" t="s">
        <v>804</v>
      </c>
      <c r="AA130" s="508" t="s">
        <v>804</v>
      </c>
      <c r="AB130" s="508" t="s">
        <v>804</v>
      </c>
      <c r="AC130" s="508" t="s">
        <v>804</v>
      </c>
      <c r="AD130" s="972">
        <f t="shared" si="185"/>
        <v>0</v>
      </c>
      <c r="AE130" s="439" t="b">
        <f t="shared" si="156"/>
        <v>0</v>
      </c>
      <c r="AF130" s="440" t="b">
        <f t="shared" si="186"/>
        <v>0</v>
      </c>
      <c r="AG130" s="976" t="str">
        <f t="shared" si="187"/>
        <v/>
      </c>
      <c r="AH130" s="508">
        <f t="shared" si="159"/>
        <v>0</v>
      </c>
      <c r="AI130" s="446">
        <v>2</v>
      </c>
      <c r="AJ130" s="248">
        <f t="shared" si="188"/>
        <v>2</v>
      </c>
      <c r="AK130" s="249">
        <f t="shared" si="161"/>
        <v>0</v>
      </c>
    </row>
    <row r="131" spans="1:47" ht="15" customHeight="1">
      <c r="A131" s="1586"/>
      <c r="B131" s="1587"/>
      <c r="C131" s="1588"/>
      <c r="D131" s="2739" t="str">
        <f t="shared" si="162"/>
        <v>全職種</v>
      </c>
      <c r="E131" s="2740"/>
      <c r="F131" s="2678"/>
      <c r="G131" s="2741"/>
      <c r="H131" s="2741"/>
      <c r="I131" s="890" t="str">
        <f t="shared" si="149"/>
        <v/>
      </c>
      <c r="J131" s="447" t="str">
        <f t="shared" si="163"/>
        <v/>
      </c>
      <c r="K131" s="1068"/>
      <c r="L131" s="509" t="str">
        <f t="shared" si="182"/>
        <v/>
      </c>
      <c r="M131" s="483">
        <f t="shared" si="151"/>
        <v>0</v>
      </c>
      <c r="N131" s="2706"/>
      <c r="O131" s="2707"/>
      <c r="P131" s="136"/>
      <c r="Q131" s="312"/>
      <c r="R131" s="312"/>
      <c r="S131" s="312"/>
      <c r="T131" s="976" t="str">
        <f t="shared" si="183"/>
        <v>全職種</v>
      </c>
      <c r="U131" s="988">
        <f t="shared" si="184"/>
        <v>0</v>
      </c>
      <c r="V131" s="976">
        <v>2</v>
      </c>
      <c r="W131" s="976" t="b">
        <f t="shared" si="164"/>
        <v>0</v>
      </c>
      <c r="X131" s="439" t="b">
        <f t="shared" ca="1" si="165"/>
        <v>0</v>
      </c>
      <c r="Y131" s="507" t="b">
        <f>COUNTIF($AD$30:AD130,AD131)+COUNTIF(AD132:$AD$147,AD131)-COUNTIF(Z131:AC131,AD131)=0</f>
        <v>0</v>
      </c>
      <c r="Z131" s="508" t="s">
        <v>804</v>
      </c>
      <c r="AA131" s="508" t="s">
        <v>804</v>
      </c>
      <c r="AB131" s="508" t="s">
        <v>804</v>
      </c>
      <c r="AC131" s="508" t="s">
        <v>804</v>
      </c>
      <c r="AD131" s="972">
        <f t="shared" si="185"/>
        <v>0</v>
      </c>
      <c r="AE131" s="439" t="b">
        <f t="shared" si="156"/>
        <v>0</v>
      </c>
      <c r="AF131" s="440" t="b">
        <f t="shared" si="186"/>
        <v>0</v>
      </c>
      <c r="AG131" s="976" t="str">
        <f t="shared" si="187"/>
        <v/>
      </c>
      <c r="AH131" s="508">
        <f t="shared" si="159"/>
        <v>0</v>
      </c>
      <c r="AI131" s="446">
        <v>2</v>
      </c>
      <c r="AJ131" s="248">
        <f t="shared" si="188"/>
        <v>2</v>
      </c>
      <c r="AK131" s="249">
        <f t="shared" si="161"/>
        <v>0</v>
      </c>
    </row>
    <row r="132" spans="1:47" ht="15" customHeight="1">
      <c r="A132" s="1589"/>
      <c r="B132" s="1424"/>
      <c r="C132" s="1590"/>
      <c r="D132" s="2773" t="str">
        <f t="shared" si="162"/>
        <v>全職種</v>
      </c>
      <c r="E132" s="2774"/>
      <c r="F132" s="2775"/>
      <c r="G132" s="2776"/>
      <c r="H132" s="2776"/>
      <c r="I132" s="896" t="str">
        <f t="shared" si="149"/>
        <v/>
      </c>
      <c r="J132" s="798" t="str">
        <f t="shared" si="163"/>
        <v/>
      </c>
      <c r="K132" s="1071"/>
      <c r="L132" s="511" t="str">
        <f t="shared" si="182"/>
        <v/>
      </c>
      <c r="M132" s="512">
        <f t="shared" si="151"/>
        <v>0</v>
      </c>
      <c r="N132" s="2708"/>
      <c r="O132" s="2709"/>
      <c r="P132" s="136"/>
      <c r="Q132" s="312"/>
      <c r="R132" s="312"/>
      <c r="S132" s="312"/>
      <c r="T132" s="976" t="str">
        <f t="shared" si="183"/>
        <v>全職種</v>
      </c>
      <c r="U132" s="988">
        <f t="shared" si="184"/>
        <v>0</v>
      </c>
      <c r="V132" s="976">
        <v>2</v>
      </c>
      <c r="W132" s="976" t="b">
        <f t="shared" si="164"/>
        <v>0</v>
      </c>
      <c r="X132" s="439" t="b">
        <f t="shared" ca="1" si="165"/>
        <v>0</v>
      </c>
      <c r="Y132" s="507" t="b">
        <f>COUNTIF($AD$30:AD131,AD132)+COUNTIF(AD133:$AD$147,AD132)-COUNTIF(Z132:AC132,AD132)=0</f>
        <v>0</v>
      </c>
      <c r="Z132" s="508" t="s">
        <v>804</v>
      </c>
      <c r="AA132" s="508" t="s">
        <v>804</v>
      </c>
      <c r="AB132" s="508" t="s">
        <v>804</v>
      </c>
      <c r="AC132" s="508" t="s">
        <v>804</v>
      </c>
      <c r="AD132" s="972">
        <f t="shared" si="185"/>
        <v>0</v>
      </c>
      <c r="AE132" s="439" t="b">
        <f t="shared" si="156"/>
        <v>0</v>
      </c>
      <c r="AF132" s="440" t="b">
        <f t="shared" si="186"/>
        <v>0</v>
      </c>
      <c r="AG132" s="976" t="str">
        <f t="shared" si="187"/>
        <v/>
      </c>
      <c r="AH132" s="508">
        <f t="shared" si="159"/>
        <v>0</v>
      </c>
      <c r="AI132" s="446">
        <v>2</v>
      </c>
      <c r="AJ132" s="248">
        <f t="shared" si="188"/>
        <v>2</v>
      </c>
      <c r="AK132" s="249">
        <f t="shared" si="161"/>
        <v>0</v>
      </c>
    </row>
    <row r="133" spans="1:47" ht="15" customHeight="1">
      <c r="A133" s="1583" t="s">
        <v>846</v>
      </c>
      <c r="B133" s="2738"/>
      <c r="C133" s="1585"/>
      <c r="D133" s="2769" t="str">
        <f t="shared" si="162"/>
        <v>調理員</v>
      </c>
      <c r="E133" s="2770"/>
      <c r="F133" s="2771"/>
      <c r="G133" s="2772"/>
      <c r="H133" s="2772"/>
      <c r="I133" s="901" t="str">
        <f t="shared" si="149"/>
        <v/>
      </c>
      <c r="J133" s="910" t="str">
        <f t="shared" si="163"/>
        <v/>
      </c>
      <c r="K133" s="1072"/>
      <c r="L133" s="513" t="str">
        <f t="shared" si="182"/>
        <v/>
      </c>
      <c r="M133" s="514">
        <f t="shared" si="151"/>
        <v>0</v>
      </c>
      <c r="N133" s="2704">
        <f>SUM(M133:M135)</f>
        <v>0</v>
      </c>
      <c r="O133" s="2705"/>
      <c r="P133" s="136"/>
      <c r="Q133" s="312"/>
      <c r="R133" s="312"/>
      <c r="S133" s="312"/>
      <c r="T133" s="446" t="str">
        <f t="shared" ref="T133:T135" si="190">$BI$6</f>
        <v>調理員</v>
      </c>
      <c r="U133" s="988">
        <f t="shared" si="184"/>
        <v>0</v>
      </c>
      <c r="V133" s="976">
        <v>2</v>
      </c>
      <c r="W133" s="976" t="b">
        <f t="shared" si="164"/>
        <v>0</v>
      </c>
      <c r="X133" s="439" t="b">
        <f t="shared" ca="1" si="165"/>
        <v>0</v>
      </c>
      <c r="Y133" s="507" t="b">
        <f>COUNTIF($AD$30:AD132,AD133)+COUNTIF(AD134:$AD$147,AD133)-COUNTIF(Z133:AC133,AD133)=0</f>
        <v>0</v>
      </c>
      <c r="Z133" s="508" t="s">
        <v>804</v>
      </c>
      <c r="AA133" s="508" t="s">
        <v>804</v>
      </c>
      <c r="AB133" s="508" t="s">
        <v>804</v>
      </c>
      <c r="AC133" s="508" t="s">
        <v>804</v>
      </c>
      <c r="AD133" s="972">
        <f t="shared" si="185"/>
        <v>0</v>
      </c>
      <c r="AE133" s="439" t="b">
        <f t="shared" si="156"/>
        <v>0</v>
      </c>
      <c r="AF133" s="440" t="b">
        <f t="shared" si="186"/>
        <v>0</v>
      </c>
      <c r="AG133" s="976" t="str">
        <f t="shared" si="187"/>
        <v/>
      </c>
      <c r="AH133" s="508">
        <f t="shared" si="159"/>
        <v>0</v>
      </c>
      <c r="AI133" s="446">
        <v>2</v>
      </c>
      <c r="AJ133" s="248">
        <f t="shared" si="188"/>
        <v>2</v>
      </c>
      <c r="AK133" s="249">
        <f t="shared" si="161"/>
        <v>0</v>
      </c>
    </row>
    <row r="134" spans="1:47" ht="15" customHeight="1">
      <c r="A134" s="1586"/>
      <c r="B134" s="1587"/>
      <c r="C134" s="1588"/>
      <c r="D134" s="2739" t="str">
        <f t="shared" si="162"/>
        <v>調理員</v>
      </c>
      <c r="E134" s="2740"/>
      <c r="F134" s="2678"/>
      <c r="G134" s="2741"/>
      <c r="H134" s="2741"/>
      <c r="I134" s="890" t="str">
        <f t="shared" si="149"/>
        <v/>
      </c>
      <c r="J134" s="447" t="str">
        <f t="shared" si="163"/>
        <v/>
      </c>
      <c r="K134" s="1068"/>
      <c r="L134" s="509" t="str">
        <f t="shared" si="182"/>
        <v/>
      </c>
      <c r="M134" s="483">
        <f t="shared" si="151"/>
        <v>0</v>
      </c>
      <c r="N134" s="2706"/>
      <c r="O134" s="2707"/>
      <c r="P134" s="136"/>
      <c r="Q134" s="312"/>
      <c r="R134" s="312"/>
      <c r="S134" s="312"/>
      <c r="T134" s="446" t="str">
        <f t="shared" si="190"/>
        <v>調理員</v>
      </c>
      <c r="U134" s="988">
        <f t="shared" si="184"/>
        <v>0</v>
      </c>
      <c r="V134" s="976">
        <v>2</v>
      </c>
      <c r="W134" s="976" t="b">
        <f t="shared" si="164"/>
        <v>0</v>
      </c>
      <c r="X134" s="439" t="b">
        <f t="shared" ca="1" si="165"/>
        <v>0</v>
      </c>
      <c r="Y134" s="507" t="b">
        <f>COUNTIF($AD$30:AD133,AD134)+COUNTIF(AD135:$AD$147,AD134)-COUNTIF(Z134:AC134,AD134)=0</f>
        <v>0</v>
      </c>
      <c r="Z134" s="508" t="s">
        <v>804</v>
      </c>
      <c r="AA134" s="508" t="s">
        <v>804</v>
      </c>
      <c r="AB134" s="508" t="s">
        <v>804</v>
      </c>
      <c r="AC134" s="508" t="s">
        <v>804</v>
      </c>
      <c r="AD134" s="972">
        <f t="shared" si="185"/>
        <v>0</v>
      </c>
      <c r="AE134" s="439" t="b">
        <f t="shared" si="156"/>
        <v>0</v>
      </c>
      <c r="AF134" s="440" t="b">
        <f t="shared" si="186"/>
        <v>0</v>
      </c>
      <c r="AG134" s="976" t="str">
        <f t="shared" si="187"/>
        <v/>
      </c>
      <c r="AH134" s="508">
        <f t="shared" si="159"/>
        <v>0</v>
      </c>
      <c r="AI134" s="446">
        <v>2</v>
      </c>
      <c r="AJ134" s="248">
        <f t="shared" si="188"/>
        <v>2</v>
      </c>
      <c r="AK134" s="249">
        <f t="shared" si="161"/>
        <v>0</v>
      </c>
    </row>
    <row r="135" spans="1:47" ht="15" customHeight="1">
      <c r="A135" s="1589"/>
      <c r="B135" s="1424"/>
      <c r="C135" s="1590"/>
      <c r="D135" s="2773" t="str">
        <f t="shared" si="162"/>
        <v>調理員</v>
      </c>
      <c r="E135" s="2774"/>
      <c r="F135" s="2775"/>
      <c r="G135" s="2776"/>
      <c r="H135" s="2776"/>
      <c r="I135" s="896" t="str">
        <f t="shared" si="149"/>
        <v/>
      </c>
      <c r="J135" s="798" t="str">
        <f t="shared" si="163"/>
        <v/>
      </c>
      <c r="K135" s="1071"/>
      <c r="L135" s="511" t="str">
        <f t="shared" si="182"/>
        <v/>
      </c>
      <c r="M135" s="512">
        <f t="shared" si="151"/>
        <v>0</v>
      </c>
      <c r="N135" s="2708"/>
      <c r="O135" s="2709"/>
      <c r="P135" s="136"/>
      <c r="Q135" s="312"/>
      <c r="R135" s="312"/>
      <c r="S135" s="312"/>
      <c r="T135" s="446" t="str">
        <f t="shared" si="190"/>
        <v>調理員</v>
      </c>
      <c r="U135" s="988">
        <f t="shared" si="184"/>
        <v>0</v>
      </c>
      <c r="V135" s="976">
        <v>2</v>
      </c>
      <c r="W135" s="976" t="b">
        <f t="shared" si="164"/>
        <v>0</v>
      </c>
      <c r="X135" s="439" t="b">
        <f t="shared" ca="1" si="165"/>
        <v>0</v>
      </c>
      <c r="Y135" s="507" t="b">
        <f>COUNTIF($AD$30:AD134,AD135)+COUNTIF(AD136:$AD$147,AD135)-COUNTIF(Z135:AC135,AD135)=0</f>
        <v>0</v>
      </c>
      <c r="Z135" s="508" t="s">
        <v>804</v>
      </c>
      <c r="AA135" s="508" t="s">
        <v>804</v>
      </c>
      <c r="AB135" s="508" t="s">
        <v>804</v>
      </c>
      <c r="AC135" s="508" t="s">
        <v>804</v>
      </c>
      <c r="AD135" s="972">
        <f t="shared" si="185"/>
        <v>0</v>
      </c>
      <c r="AE135" s="439" t="b">
        <f t="shared" si="156"/>
        <v>0</v>
      </c>
      <c r="AF135" s="440" t="b">
        <f t="shared" si="186"/>
        <v>0</v>
      </c>
      <c r="AG135" s="976" t="str">
        <f t="shared" si="187"/>
        <v/>
      </c>
      <c r="AH135" s="508">
        <f t="shared" si="159"/>
        <v>0</v>
      </c>
      <c r="AI135" s="446">
        <v>2</v>
      </c>
      <c r="AJ135" s="248">
        <f t="shared" si="188"/>
        <v>2</v>
      </c>
      <c r="AK135" s="249">
        <f t="shared" si="161"/>
        <v>0</v>
      </c>
    </row>
    <row r="136" spans="1:47" ht="15" customHeight="1">
      <c r="A136" s="3015" t="s">
        <v>847</v>
      </c>
      <c r="B136" s="3017"/>
      <c r="C136" s="3018"/>
      <c r="D136" s="2769" t="str">
        <f t="shared" si="162"/>
        <v>全職種</v>
      </c>
      <c r="E136" s="2770"/>
      <c r="F136" s="2771"/>
      <c r="G136" s="2772"/>
      <c r="H136" s="2772"/>
      <c r="I136" s="901" t="str">
        <f t="shared" si="149"/>
        <v/>
      </c>
      <c r="J136" s="910" t="str">
        <f t="shared" si="163"/>
        <v/>
      </c>
      <c r="K136" s="1072"/>
      <c r="L136" s="513" t="str">
        <f t="shared" si="182"/>
        <v/>
      </c>
      <c r="M136" s="514">
        <f t="shared" si="151"/>
        <v>0</v>
      </c>
      <c r="N136" s="2704">
        <f>SUM(M136:M145)</f>
        <v>0</v>
      </c>
      <c r="O136" s="2705"/>
      <c r="P136" s="136"/>
      <c r="Q136" s="312"/>
      <c r="R136" s="312"/>
      <c r="S136" s="312"/>
      <c r="T136" s="976" t="str">
        <f t="shared" ref="T136:T145" si="191">$BQ$6</f>
        <v>全職種</v>
      </c>
      <c r="U136" s="988">
        <f t="shared" si="184"/>
        <v>0</v>
      </c>
      <c r="V136" s="976">
        <v>2</v>
      </c>
      <c r="W136" s="976" t="b">
        <f t="shared" si="164"/>
        <v>0</v>
      </c>
      <c r="X136" s="439" t="b">
        <f t="shared" ca="1" si="165"/>
        <v>0</v>
      </c>
      <c r="Y136" s="507" t="b">
        <f>COUNTIF($AD$30:AD135,AD136)+COUNTIF(AD137:$AD$147,AD136)-COUNTIF(Z136:AC136,AD136)=0</f>
        <v>0</v>
      </c>
      <c r="Z136" s="508" t="s">
        <v>804</v>
      </c>
      <c r="AA136" s="508" t="s">
        <v>804</v>
      </c>
      <c r="AB136" s="508" t="s">
        <v>804</v>
      </c>
      <c r="AC136" s="508" t="s">
        <v>804</v>
      </c>
      <c r="AD136" s="972">
        <f t="shared" si="185"/>
        <v>0</v>
      </c>
      <c r="AE136" s="439" t="b">
        <f t="shared" si="156"/>
        <v>0</v>
      </c>
      <c r="AF136" s="440" t="b">
        <f t="shared" si="186"/>
        <v>0</v>
      </c>
      <c r="AG136" s="976" t="str">
        <f t="shared" si="187"/>
        <v/>
      </c>
      <c r="AH136" s="508">
        <f t="shared" si="159"/>
        <v>0</v>
      </c>
      <c r="AI136" s="446">
        <v>2</v>
      </c>
      <c r="AJ136" s="248">
        <f t="shared" si="188"/>
        <v>2</v>
      </c>
      <c r="AK136" s="249">
        <f t="shared" si="161"/>
        <v>0</v>
      </c>
    </row>
    <row r="137" spans="1:47" ht="15" customHeight="1">
      <c r="A137" s="3016"/>
      <c r="B137" s="2805"/>
      <c r="C137" s="2806"/>
      <c r="D137" s="2739" t="str">
        <f t="shared" si="162"/>
        <v>全職種</v>
      </c>
      <c r="E137" s="2740"/>
      <c r="F137" s="2678"/>
      <c r="G137" s="2741"/>
      <c r="H137" s="2741"/>
      <c r="I137" s="890" t="str">
        <f t="shared" si="149"/>
        <v/>
      </c>
      <c r="J137" s="447" t="str">
        <f t="shared" si="163"/>
        <v/>
      </c>
      <c r="K137" s="1068"/>
      <c r="L137" s="509" t="str">
        <f t="shared" si="182"/>
        <v/>
      </c>
      <c r="M137" s="483">
        <f t="shared" si="151"/>
        <v>0</v>
      </c>
      <c r="N137" s="2706"/>
      <c r="O137" s="2707"/>
      <c r="P137" s="136"/>
      <c r="Q137" s="312"/>
      <c r="R137" s="312"/>
      <c r="S137" s="312"/>
      <c r="T137" s="976" t="str">
        <f t="shared" si="191"/>
        <v>全職種</v>
      </c>
      <c r="U137" s="988">
        <f t="shared" si="184"/>
        <v>0</v>
      </c>
      <c r="V137" s="976">
        <v>2</v>
      </c>
      <c r="W137" s="976" t="b">
        <f t="shared" si="164"/>
        <v>0</v>
      </c>
      <c r="X137" s="439" t="b">
        <f t="shared" ca="1" si="165"/>
        <v>0</v>
      </c>
      <c r="Y137" s="507" t="b">
        <f>COUNTIF($AD$30:AD136,AD137)+COUNTIF(AD138:$AD$147,AD137)-COUNTIF(Z137:AC137,AD137)=0</f>
        <v>0</v>
      </c>
      <c r="Z137" s="508" t="s">
        <v>804</v>
      </c>
      <c r="AA137" s="508" t="s">
        <v>804</v>
      </c>
      <c r="AB137" s="508" t="s">
        <v>804</v>
      </c>
      <c r="AC137" s="508" t="s">
        <v>804</v>
      </c>
      <c r="AD137" s="972">
        <f t="shared" si="185"/>
        <v>0</v>
      </c>
      <c r="AE137" s="439" t="b">
        <f t="shared" si="156"/>
        <v>0</v>
      </c>
      <c r="AF137" s="440" t="b">
        <f t="shared" si="186"/>
        <v>0</v>
      </c>
      <c r="AG137" s="976" t="str">
        <f t="shared" si="187"/>
        <v/>
      </c>
      <c r="AH137" s="508">
        <f t="shared" si="159"/>
        <v>0</v>
      </c>
      <c r="AI137" s="446">
        <v>2</v>
      </c>
      <c r="AJ137" s="248">
        <f t="shared" si="188"/>
        <v>2</v>
      </c>
      <c r="AK137" s="249">
        <f t="shared" si="161"/>
        <v>0</v>
      </c>
    </row>
    <row r="138" spans="1:47" ht="15" customHeight="1">
      <c r="A138" s="3016"/>
      <c r="B138" s="2805"/>
      <c r="C138" s="2806"/>
      <c r="D138" s="2739" t="str">
        <f t="shared" si="162"/>
        <v>全職種</v>
      </c>
      <c r="E138" s="2740"/>
      <c r="F138" s="2678"/>
      <c r="G138" s="2741"/>
      <c r="H138" s="2741"/>
      <c r="I138" s="890" t="str">
        <f t="shared" si="149"/>
        <v/>
      </c>
      <c r="J138" s="447" t="str">
        <f t="shared" si="163"/>
        <v/>
      </c>
      <c r="K138" s="1068"/>
      <c r="L138" s="509" t="str">
        <f t="shared" si="182"/>
        <v/>
      </c>
      <c r="M138" s="483">
        <f t="shared" si="151"/>
        <v>0</v>
      </c>
      <c r="N138" s="2706"/>
      <c r="O138" s="2707"/>
      <c r="P138" s="136"/>
      <c r="Q138" s="312"/>
      <c r="R138" s="312"/>
      <c r="S138" s="312"/>
      <c r="T138" s="976" t="str">
        <f t="shared" si="191"/>
        <v>全職種</v>
      </c>
      <c r="U138" s="988">
        <f t="shared" si="184"/>
        <v>0</v>
      </c>
      <c r="V138" s="976">
        <v>2</v>
      </c>
      <c r="W138" s="976" t="b">
        <f t="shared" si="164"/>
        <v>0</v>
      </c>
      <c r="X138" s="439" t="b">
        <f t="shared" ca="1" si="165"/>
        <v>0</v>
      </c>
      <c r="Y138" s="507" t="b">
        <f>COUNTIF($AD$30:AD137,AD138)+COUNTIF(AD139:$AD$147,AD138)-COUNTIF(Z138:AC138,AD138)=0</f>
        <v>0</v>
      </c>
      <c r="Z138" s="508" t="s">
        <v>804</v>
      </c>
      <c r="AA138" s="508" t="s">
        <v>804</v>
      </c>
      <c r="AB138" s="508" t="s">
        <v>804</v>
      </c>
      <c r="AC138" s="508" t="s">
        <v>804</v>
      </c>
      <c r="AD138" s="972">
        <f t="shared" si="185"/>
        <v>0</v>
      </c>
      <c r="AE138" s="439" t="b">
        <f t="shared" si="156"/>
        <v>0</v>
      </c>
      <c r="AF138" s="440" t="b">
        <f t="shared" si="186"/>
        <v>0</v>
      </c>
      <c r="AG138" s="976" t="str">
        <f t="shared" si="187"/>
        <v/>
      </c>
      <c r="AH138" s="508">
        <f t="shared" si="159"/>
        <v>0</v>
      </c>
      <c r="AI138" s="446">
        <v>2</v>
      </c>
      <c r="AJ138" s="248">
        <f t="shared" si="188"/>
        <v>2</v>
      </c>
      <c r="AK138" s="249">
        <f t="shared" si="161"/>
        <v>0</v>
      </c>
    </row>
    <row r="139" spans="1:47" ht="15" customHeight="1">
      <c r="A139" s="3016"/>
      <c r="B139" s="2805"/>
      <c r="C139" s="2806"/>
      <c r="D139" s="2739" t="str">
        <f t="shared" si="162"/>
        <v>全職種</v>
      </c>
      <c r="E139" s="2740"/>
      <c r="F139" s="2678"/>
      <c r="G139" s="2741"/>
      <c r="H139" s="2741"/>
      <c r="I139" s="890" t="str">
        <f t="shared" si="149"/>
        <v/>
      </c>
      <c r="J139" s="447" t="str">
        <f t="shared" si="163"/>
        <v/>
      </c>
      <c r="K139" s="1068"/>
      <c r="L139" s="509" t="str">
        <f t="shared" si="182"/>
        <v/>
      </c>
      <c r="M139" s="483">
        <f t="shared" si="151"/>
        <v>0</v>
      </c>
      <c r="N139" s="2706"/>
      <c r="O139" s="2707"/>
      <c r="P139" s="136"/>
      <c r="Q139" s="312"/>
      <c r="R139" s="312"/>
      <c r="S139" s="312"/>
      <c r="T139" s="976" t="str">
        <f t="shared" si="191"/>
        <v>全職種</v>
      </c>
      <c r="U139" s="988">
        <f t="shared" si="184"/>
        <v>0</v>
      </c>
      <c r="V139" s="976">
        <v>2</v>
      </c>
      <c r="W139" s="976" t="b">
        <f t="shared" si="164"/>
        <v>0</v>
      </c>
      <c r="X139" s="439" t="b">
        <f t="shared" ca="1" si="165"/>
        <v>0</v>
      </c>
      <c r="Y139" s="507" t="b">
        <f>COUNTIF($AD$30:AD138,AD139)+COUNTIF(AD140:$AD$147,AD139)-COUNTIF(Z139:AC139,AD139)=0</f>
        <v>0</v>
      </c>
      <c r="Z139" s="508" t="s">
        <v>804</v>
      </c>
      <c r="AA139" s="508" t="s">
        <v>804</v>
      </c>
      <c r="AB139" s="508" t="s">
        <v>804</v>
      </c>
      <c r="AC139" s="508" t="s">
        <v>804</v>
      </c>
      <c r="AD139" s="972">
        <f t="shared" si="185"/>
        <v>0</v>
      </c>
      <c r="AE139" s="439" t="b">
        <f t="shared" si="156"/>
        <v>0</v>
      </c>
      <c r="AF139" s="440" t="b">
        <f t="shared" si="186"/>
        <v>0</v>
      </c>
      <c r="AG139" s="976" t="str">
        <f t="shared" si="187"/>
        <v/>
      </c>
      <c r="AH139" s="508">
        <f t="shared" si="159"/>
        <v>0</v>
      </c>
      <c r="AI139" s="446">
        <v>2</v>
      </c>
      <c r="AJ139" s="248">
        <f t="shared" si="188"/>
        <v>2</v>
      </c>
      <c r="AK139" s="249">
        <f t="shared" si="161"/>
        <v>0</v>
      </c>
    </row>
    <row r="140" spans="1:47" ht="15" customHeight="1">
      <c r="A140" s="3016"/>
      <c r="B140" s="2805"/>
      <c r="C140" s="2806"/>
      <c r="D140" s="2739" t="str">
        <f t="shared" si="162"/>
        <v>全職種</v>
      </c>
      <c r="E140" s="2740"/>
      <c r="F140" s="2678"/>
      <c r="G140" s="2741"/>
      <c r="H140" s="2741"/>
      <c r="I140" s="890" t="str">
        <f t="shared" si="149"/>
        <v/>
      </c>
      <c r="J140" s="447" t="str">
        <f t="shared" si="163"/>
        <v/>
      </c>
      <c r="K140" s="1068"/>
      <c r="L140" s="509" t="str">
        <f t="shared" si="182"/>
        <v/>
      </c>
      <c r="M140" s="483">
        <f t="shared" si="151"/>
        <v>0</v>
      </c>
      <c r="N140" s="2706"/>
      <c r="O140" s="2707"/>
      <c r="P140" s="136"/>
      <c r="Q140" s="312"/>
      <c r="R140" s="312"/>
      <c r="S140" s="312"/>
      <c r="T140" s="976" t="str">
        <f t="shared" si="191"/>
        <v>全職種</v>
      </c>
      <c r="U140" s="988">
        <f t="shared" si="184"/>
        <v>0</v>
      </c>
      <c r="V140" s="976">
        <v>2</v>
      </c>
      <c r="W140" s="976" t="b">
        <f t="shared" si="164"/>
        <v>0</v>
      </c>
      <c r="X140" s="439" t="b">
        <f t="shared" ca="1" si="165"/>
        <v>0</v>
      </c>
      <c r="Y140" s="507" t="b">
        <f>COUNTIF($AD$30:AD139,AD140)+COUNTIF(AD141:$AD$147,AD140)-COUNTIF(Z140:AC140,AD140)=0</f>
        <v>0</v>
      </c>
      <c r="Z140" s="508" t="s">
        <v>804</v>
      </c>
      <c r="AA140" s="508" t="s">
        <v>804</v>
      </c>
      <c r="AB140" s="508" t="s">
        <v>804</v>
      </c>
      <c r="AC140" s="508" t="s">
        <v>804</v>
      </c>
      <c r="AD140" s="972">
        <f t="shared" si="185"/>
        <v>0</v>
      </c>
      <c r="AE140" s="439" t="b">
        <f t="shared" si="156"/>
        <v>0</v>
      </c>
      <c r="AF140" s="440" t="b">
        <f t="shared" si="186"/>
        <v>0</v>
      </c>
      <c r="AG140" s="976" t="str">
        <f t="shared" si="187"/>
        <v/>
      </c>
      <c r="AH140" s="508">
        <f t="shared" si="159"/>
        <v>0</v>
      </c>
      <c r="AI140" s="446">
        <v>2</v>
      </c>
      <c r="AJ140" s="248">
        <f t="shared" si="188"/>
        <v>2</v>
      </c>
      <c r="AK140" s="249">
        <f t="shared" si="161"/>
        <v>0</v>
      </c>
      <c r="AU140" s="461"/>
    </row>
    <row r="141" spans="1:47" ht="15" customHeight="1">
      <c r="A141" s="3016"/>
      <c r="B141" s="2805"/>
      <c r="C141" s="2806"/>
      <c r="D141" s="2739" t="str">
        <f t="shared" si="162"/>
        <v>全職種</v>
      </c>
      <c r="E141" s="2740"/>
      <c r="F141" s="2678"/>
      <c r="G141" s="2741"/>
      <c r="H141" s="2741"/>
      <c r="I141" s="890" t="str">
        <f t="shared" si="149"/>
        <v/>
      </c>
      <c r="J141" s="447" t="str">
        <f t="shared" si="163"/>
        <v/>
      </c>
      <c r="K141" s="1068"/>
      <c r="L141" s="509" t="str">
        <f t="shared" si="182"/>
        <v/>
      </c>
      <c r="M141" s="483">
        <f t="shared" si="151"/>
        <v>0</v>
      </c>
      <c r="N141" s="2706"/>
      <c r="O141" s="2707"/>
      <c r="P141" s="136"/>
      <c r="Q141" s="312"/>
      <c r="R141" s="312"/>
      <c r="S141" s="312"/>
      <c r="T141" s="976" t="str">
        <f t="shared" si="191"/>
        <v>全職種</v>
      </c>
      <c r="U141" s="988">
        <f t="shared" si="184"/>
        <v>0</v>
      </c>
      <c r="V141" s="976">
        <v>2</v>
      </c>
      <c r="W141" s="976" t="b">
        <f t="shared" si="164"/>
        <v>0</v>
      </c>
      <c r="X141" s="439" t="b">
        <f t="shared" ca="1" si="165"/>
        <v>0</v>
      </c>
      <c r="Y141" s="507" t="b">
        <f>COUNTIF($AD$30:AD140,AD141)+COUNTIF(AD142:$AD$147,AD141)-COUNTIF(Z141:AC141,AD141)=0</f>
        <v>0</v>
      </c>
      <c r="Z141" s="508" t="s">
        <v>804</v>
      </c>
      <c r="AA141" s="508" t="s">
        <v>804</v>
      </c>
      <c r="AB141" s="508" t="s">
        <v>804</v>
      </c>
      <c r="AC141" s="508" t="s">
        <v>804</v>
      </c>
      <c r="AD141" s="972">
        <f t="shared" si="185"/>
        <v>0</v>
      </c>
      <c r="AE141" s="439" t="b">
        <f t="shared" si="156"/>
        <v>0</v>
      </c>
      <c r="AF141" s="440" t="b">
        <f t="shared" si="186"/>
        <v>0</v>
      </c>
      <c r="AG141" s="976" t="str">
        <f t="shared" si="187"/>
        <v/>
      </c>
      <c r="AH141" s="508">
        <f t="shared" si="159"/>
        <v>0</v>
      </c>
      <c r="AI141" s="446">
        <v>2</v>
      </c>
      <c r="AJ141" s="248">
        <f t="shared" si="188"/>
        <v>2</v>
      </c>
      <c r="AK141" s="249">
        <f t="shared" si="161"/>
        <v>0</v>
      </c>
      <c r="AU141" s="461"/>
    </row>
    <row r="142" spans="1:47" ht="15" customHeight="1">
      <c r="A142" s="3016"/>
      <c r="B142" s="2805"/>
      <c r="C142" s="2806"/>
      <c r="D142" s="2739" t="str">
        <f t="shared" si="162"/>
        <v>全職種</v>
      </c>
      <c r="E142" s="2740"/>
      <c r="F142" s="2678"/>
      <c r="G142" s="2741"/>
      <c r="H142" s="2741"/>
      <c r="I142" s="890" t="str">
        <f t="shared" si="149"/>
        <v/>
      </c>
      <c r="J142" s="447" t="str">
        <f t="shared" si="163"/>
        <v/>
      </c>
      <c r="K142" s="1068"/>
      <c r="L142" s="509" t="str">
        <f t="shared" si="182"/>
        <v/>
      </c>
      <c r="M142" s="483">
        <f t="shared" si="151"/>
        <v>0</v>
      </c>
      <c r="N142" s="2706"/>
      <c r="O142" s="2707"/>
      <c r="P142" s="136"/>
      <c r="Q142" s="312"/>
      <c r="R142" s="312"/>
      <c r="S142" s="312"/>
      <c r="T142" s="976" t="str">
        <f t="shared" si="191"/>
        <v>全職種</v>
      </c>
      <c r="U142" s="988">
        <f t="shared" si="184"/>
        <v>0</v>
      </c>
      <c r="V142" s="976">
        <v>2</v>
      </c>
      <c r="W142" s="976" t="b">
        <f t="shared" si="164"/>
        <v>0</v>
      </c>
      <c r="X142" s="439" t="b">
        <f t="shared" ca="1" si="165"/>
        <v>0</v>
      </c>
      <c r="Y142" s="507" t="b">
        <f>COUNTIF($AD$30:AD141,AD142)+COUNTIF(AD143:$AD$147,AD142)-COUNTIF(Z142:AC142,AD142)=0</f>
        <v>0</v>
      </c>
      <c r="Z142" s="508" t="s">
        <v>804</v>
      </c>
      <c r="AA142" s="508" t="s">
        <v>804</v>
      </c>
      <c r="AB142" s="508" t="s">
        <v>804</v>
      </c>
      <c r="AC142" s="508" t="s">
        <v>804</v>
      </c>
      <c r="AD142" s="972">
        <f t="shared" si="185"/>
        <v>0</v>
      </c>
      <c r="AE142" s="439" t="b">
        <f t="shared" si="156"/>
        <v>0</v>
      </c>
      <c r="AF142" s="440" t="b">
        <f t="shared" si="186"/>
        <v>0</v>
      </c>
      <c r="AG142" s="976" t="str">
        <f t="shared" si="187"/>
        <v/>
      </c>
      <c r="AH142" s="508">
        <f t="shared" si="159"/>
        <v>0</v>
      </c>
      <c r="AI142" s="446">
        <v>2</v>
      </c>
      <c r="AJ142" s="248">
        <f t="shared" si="188"/>
        <v>2</v>
      </c>
      <c r="AK142" s="249">
        <f t="shared" si="161"/>
        <v>0</v>
      </c>
      <c r="AU142" s="461"/>
    </row>
    <row r="143" spans="1:47" ht="15" customHeight="1">
      <c r="A143" s="3016"/>
      <c r="B143" s="2805"/>
      <c r="C143" s="2806"/>
      <c r="D143" s="2739" t="str">
        <f t="shared" si="162"/>
        <v>全職種</v>
      </c>
      <c r="E143" s="2740"/>
      <c r="F143" s="2678"/>
      <c r="G143" s="2741"/>
      <c r="H143" s="2741"/>
      <c r="I143" s="890" t="str">
        <f t="shared" si="149"/>
        <v/>
      </c>
      <c r="J143" s="447" t="str">
        <f t="shared" si="163"/>
        <v/>
      </c>
      <c r="K143" s="1068"/>
      <c r="L143" s="509" t="str">
        <f t="shared" si="182"/>
        <v/>
      </c>
      <c r="M143" s="483">
        <f t="shared" si="151"/>
        <v>0</v>
      </c>
      <c r="N143" s="2706"/>
      <c r="O143" s="2707"/>
      <c r="P143" s="136"/>
      <c r="Q143" s="312"/>
      <c r="R143" s="312"/>
      <c r="S143" s="312"/>
      <c r="T143" s="976" t="str">
        <f t="shared" si="191"/>
        <v>全職種</v>
      </c>
      <c r="U143" s="988">
        <f t="shared" si="184"/>
        <v>0</v>
      </c>
      <c r="V143" s="976">
        <v>2</v>
      </c>
      <c r="W143" s="976" t="b">
        <f t="shared" si="164"/>
        <v>0</v>
      </c>
      <c r="X143" s="439" t="b">
        <f t="shared" ca="1" si="165"/>
        <v>0</v>
      </c>
      <c r="Y143" s="507" t="b">
        <f>COUNTIF($AD$30:AD142,AD143)+COUNTIF(AD144:$AD$147,AD143)-COUNTIF(Z143:AC143,AD143)=0</f>
        <v>0</v>
      </c>
      <c r="Z143" s="508" t="s">
        <v>804</v>
      </c>
      <c r="AA143" s="508" t="s">
        <v>804</v>
      </c>
      <c r="AB143" s="508" t="s">
        <v>804</v>
      </c>
      <c r="AC143" s="508" t="s">
        <v>804</v>
      </c>
      <c r="AD143" s="972">
        <f t="shared" si="185"/>
        <v>0</v>
      </c>
      <c r="AE143" s="439" t="b">
        <f t="shared" si="156"/>
        <v>0</v>
      </c>
      <c r="AF143" s="440" t="b">
        <f t="shared" si="186"/>
        <v>0</v>
      </c>
      <c r="AG143" s="976" t="str">
        <f t="shared" si="187"/>
        <v/>
      </c>
      <c r="AH143" s="508">
        <f t="shared" si="159"/>
        <v>0</v>
      </c>
      <c r="AI143" s="446">
        <v>2</v>
      </c>
      <c r="AJ143" s="248">
        <f t="shared" si="188"/>
        <v>2</v>
      </c>
      <c r="AK143" s="249">
        <f t="shared" si="161"/>
        <v>0</v>
      </c>
    </row>
    <row r="144" spans="1:47" ht="15" customHeight="1">
      <c r="A144" s="3016"/>
      <c r="B144" s="2805"/>
      <c r="C144" s="2806"/>
      <c r="D144" s="2739" t="str">
        <f t="shared" si="162"/>
        <v>全職種</v>
      </c>
      <c r="E144" s="2740"/>
      <c r="F144" s="2678"/>
      <c r="G144" s="2741"/>
      <c r="H144" s="2741"/>
      <c r="I144" s="890" t="str">
        <f t="shared" si="149"/>
        <v/>
      </c>
      <c r="J144" s="447" t="str">
        <f t="shared" si="163"/>
        <v/>
      </c>
      <c r="K144" s="1068"/>
      <c r="L144" s="509" t="str">
        <f t="shared" si="182"/>
        <v/>
      </c>
      <c r="M144" s="483">
        <f t="shared" si="151"/>
        <v>0</v>
      </c>
      <c r="N144" s="2706"/>
      <c r="O144" s="2707"/>
      <c r="P144" s="136"/>
      <c r="Q144" s="312"/>
      <c r="R144" s="312"/>
      <c r="S144" s="312"/>
      <c r="T144" s="976" t="str">
        <f t="shared" si="191"/>
        <v>全職種</v>
      </c>
      <c r="U144" s="988">
        <f t="shared" si="184"/>
        <v>0</v>
      </c>
      <c r="V144" s="976">
        <v>2</v>
      </c>
      <c r="W144" s="976" t="b">
        <f t="shared" si="164"/>
        <v>0</v>
      </c>
      <c r="X144" s="439" t="b">
        <f t="shared" ca="1" si="165"/>
        <v>0</v>
      </c>
      <c r="Y144" s="507" t="b">
        <f>COUNTIF($AD$30:AD143,AD144)+COUNTIF(AD145:$AD$147,AD144)-COUNTIF(Z144:AC144,AD144)=0</f>
        <v>0</v>
      </c>
      <c r="Z144" s="508" t="s">
        <v>804</v>
      </c>
      <c r="AA144" s="508" t="s">
        <v>804</v>
      </c>
      <c r="AB144" s="508" t="s">
        <v>804</v>
      </c>
      <c r="AC144" s="508" t="s">
        <v>804</v>
      </c>
      <c r="AD144" s="972">
        <f t="shared" si="185"/>
        <v>0</v>
      </c>
      <c r="AE144" s="439" t="b">
        <f t="shared" si="156"/>
        <v>0</v>
      </c>
      <c r="AF144" s="440" t="b">
        <f t="shared" si="186"/>
        <v>0</v>
      </c>
      <c r="AG144" s="976" t="str">
        <f t="shared" si="187"/>
        <v/>
      </c>
      <c r="AH144" s="508">
        <f t="shared" si="159"/>
        <v>0</v>
      </c>
      <c r="AI144" s="446">
        <v>2</v>
      </c>
      <c r="AJ144" s="248">
        <f t="shared" si="188"/>
        <v>2</v>
      </c>
      <c r="AK144" s="249">
        <f t="shared" si="161"/>
        <v>0</v>
      </c>
    </row>
    <row r="145" spans="1:47" ht="15" customHeight="1">
      <c r="A145" s="3016"/>
      <c r="B145" s="3019"/>
      <c r="C145" s="3020"/>
      <c r="D145" s="2791" t="str">
        <f t="shared" si="162"/>
        <v>全職種</v>
      </c>
      <c r="E145" s="2792"/>
      <c r="F145" s="2754"/>
      <c r="G145" s="2755"/>
      <c r="H145" s="2755"/>
      <c r="I145" s="889" t="str">
        <f t="shared" si="149"/>
        <v/>
      </c>
      <c r="J145" s="464" t="str">
        <f t="shared" si="163"/>
        <v/>
      </c>
      <c r="K145" s="1066"/>
      <c r="L145" s="465" t="str">
        <f t="shared" si="182"/>
        <v/>
      </c>
      <c r="M145" s="466">
        <f t="shared" si="151"/>
        <v>0</v>
      </c>
      <c r="N145" s="2706"/>
      <c r="O145" s="2707"/>
      <c r="P145" s="136"/>
      <c r="Q145" s="312"/>
      <c r="R145" s="312"/>
      <c r="S145" s="312"/>
      <c r="T145" s="976" t="str">
        <f t="shared" si="191"/>
        <v>全職種</v>
      </c>
      <c r="U145" s="988">
        <f t="shared" si="184"/>
        <v>0</v>
      </c>
      <c r="V145" s="976">
        <v>2</v>
      </c>
      <c r="W145" s="976" t="b">
        <f t="shared" si="164"/>
        <v>0</v>
      </c>
      <c r="X145" s="439" t="b">
        <f t="shared" ca="1" si="165"/>
        <v>0</v>
      </c>
      <c r="Y145" s="507" t="b">
        <f>COUNTIF($AD$30:AD144,AD145)+COUNTIF(AD146:$AD$147,AD145)-COUNTIF(Z145:AC145,AD145)=0</f>
        <v>0</v>
      </c>
      <c r="Z145" s="508" t="s">
        <v>804</v>
      </c>
      <c r="AA145" s="508" t="s">
        <v>804</v>
      </c>
      <c r="AB145" s="508" t="s">
        <v>804</v>
      </c>
      <c r="AC145" s="508" t="s">
        <v>804</v>
      </c>
      <c r="AD145" s="972">
        <f t="shared" si="185"/>
        <v>0</v>
      </c>
      <c r="AE145" s="439" t="b">
        <f t="shared" si="156"/>
        <v>0</v>
      </c>
      <c r="AF145" s="440" t="b">
        <f t="shared" si="186"/>
        <v>0</v>
      </c>
      <c r="AG145" s="976" t="str">
        <f t="shared" si="187"/>
        <v/>
      </c>
      <c r="AH145" s="508">
        <f t="shared" si="159"/>
        <v>0</v>
      </c>
      <c r="AI145" s="446">
        <v>2</v>
      </c>
      <c r="AJ145" s="248">
        <f t="shared" si="188"/>
        <v>2</v>
      </c>
      <c r="AK145" s="249">
        <f t="shared" si="161"/>
        <v>0</v>
      </c>
    </row>
    <row r="146" spans="1:47" ht="15" customHeight="1">
      <c r="A146" s="515" t="s">
        <v>848</v>
      </c>
      <c r="B146" s="3046"/>
      <c r="C146" s="3047"/>
      <c r="D146" s="3048" t="str">
        <f t="shared" ref="D146" si="192">AG146</f>
        <v>保育教諭（発令有）</v>
      </c>
      <c r="E146" s="3049"/>
      <c r="F146" s="3050" t="str">
        <f>IF(ISTEXT(B146),'【様式2】職員名簿 '!B30,"")</f>
        <v/>
      </c>
      <c r="G146" s="3051"/>
      <c r="H146" s="3051"/>
      <c r="I146" s="892" t="str">
        <f t="shared" si="149"/>
        <v/>
      </c>
      <c r="J146" s="982" t="str">
        <f>IF(OR(F146=0,F146=""),"",IF(W146,IF(X146,IF(OR(Y146,V146=3),IF(AE146,IF(OR(AF146,V146=2,V146=3),"○","要常勤"),"時間無"),"重複"),"名簿無"),"対象外"))</f>
        <v/>
      </c>
      <c r="K146" s="1073"/>
      <c r="L146" s="516" t="str">
        <f t="shared" si="182"/>
        <v/>
      </c>
      <c r="M146" s="478">
        <f t="shared" si="151"/>
        <v>0</v>
      </c>
      <c r="N146" s="3027">
        <f>SUM(M146:M146)</f>
        <v>0</v>
      </c>
      <c r="O146" s="3028"/>
      <c r="P146" s="136"/>
      <c r="Q146" s="312"/>
      <c r="R146" s="312"/>
      <c r="S146" s="312"/>
      <c r="T146" s="446" t="s">
        <v>849</v>
      </c>
      <c r="U146" s="797">
        <f>BV7</f>
        <v>0</v>
      </c>
      <c r="V146" s="469">
        <v>3</v>
      </c>
      <c r="W146" s="469" t="b">
        <f t="shared" ref="W146" si="193">AND(ISTEXT(B146),ISTEXT(F146))</f>
        <v>0</v>
      </c>
      <c r="X146" s="455" t="b">
        <f t="shared" ca="1" si="154"/>
        <v>0</v>
      </c>
      <c r="Y146" s="517" t="b">
        <f>COUNTIF($AD$30:AD145,AD146)+COUNTIF(AD147:$AD$147,AD146)-COUNTIF(Z146:AC146,AD146)=0</f>
        <v>0</v>
      </c>
      <c r="Z146" s="473" t="s">
        <v>804</v>
      </c>
      <c r="AA146" s="473" t="s">
        <v>804</v>
      </c>
      <c r="AB146" s="473" t="s">
        <v>804</v>
      </c>
      <c r="AC146" s="473" t="s">
        <v>804</v>
      </c>
      <c r="AD146" s="454" t="str">
        <f>IF(V146=3,"-",IFERROR(INDEX($AU$8:$AU$108,MATCH($F146,AV$8:AV$108,0),1),0))</f>
        <v>-</v>
      </c>
      <c r="AE146" s="476" t="b">
        <f t="shared" si="156"/>
        <v>0</v>
      </c>
      <c r="AF146" s="456" t="s">
        <v>750</v>
      </c>
      <c r="AG146" s="446" t="str">
        <f>BT7</f>
        <v>保育教諭（発令有）</v>
      </c>
      <c r="AH146" s="473">
        <f t="shared" si="159"/>
        <v>0</v>
      </c>
      <c r="AI146" s="446">
        <v>2</v>
      </c>
      <c r="AJ146" s="248">
        <f t="shared" si="188"/>
        <v>2</v>
      </c>
      <c r="AK146" s="249">
        <f t="shared" si="161"/>
        <v>0</v>
      </c>
    </row>
    <row r="147" spans="1:47" ht="15" customHeight="1" thickBot="1">
      <c r="A147" s="144"/>
      <c r="B147" s="518"/>
      <c r="C147" s="182"/>
      <c r="D147" s="182"/>
      <c r="E147" s="182"/>
      <c r="F147" s="182"/>
      <c r="G147" s="182"/>
      <c r="H147" s="182"/>
      <c r="I147" s="182"/>
      <c r="J147" s="182"/>
      <c r="K147" s="182"/>
      <c r="L147" s="182"/>
      <c r="M147" s="182"/>
      <c r="N147" s="182"/>
      <c r="O147" s="182"/>
      <c r="P147" s="136"/>
      <c r="Q147" s="136"/>
      <c r="AD147" s="519">
        <v>0</v>
      </c>
    </row>
    <row r="148" spans="1:47" ht="15" hidden="1" customHeight="1" outlineLevel="1" thickBot="1">
      <c r="A148" s="149" t="s">
        <v>850</v>
      </c>
      <c r="B148" s="182"/>
      <c r="C148" s="182"/>
      <c r="D148" s="182"/>
      <c r="E148" s="182"/>
      <c r="F148" s="182"/>
      <c r="G148" s="182" t="s">
        <v>851</v>
      </c>
      <c r="I148" s="144"/>
      <c r="J148" s="144"/>
      <c r="K148" s="182"/>
      <c r="L148" s="144"/>
      <c r="M148" s="182"/>
      <c r="N148" s="182"/>
      <c r="O148" s="144"/>
      <c r="P148" s="136"/>
      <c r="Q148" s="136"/>
    </row>
    <row r="149" spans="1:47" ht="15" hidden="1" customHeight="1" outlineLevel="1">
      <c r="A149" s="3038" t="s">
        <v>160</v>
      </c>
      <c r="B149" s="3052" t="s">
        <v>852</v>
      </c>
      <c r="C149" s="3053"/>
      <c r="D149" s="3053"/>
      <c r="E149" s="3053"/>
      <c r="F149" s="3053"/>
      <c r="G149" s="3053"/>
      <c r="H149" s="3053"/>
      <c r="I149" s="520"/>
      <c r="J149" s="148"/>
      <c r="K149" s="148"/>
      <c r="L149" s="144"/>
      <c r="M149" s="182"/>
      <c r="N149" s="182"/>
      <c r="O149" s="144"/>
      <c r="P149" s="136"/>
      <c r="Q149" s="136"/>
    </row>
    <row r="150" spans="1:47" ht="15" hidden="1" customHeight="1" outlineLevel="1" thickBot="1">
      <c r="A150" s="3039"/>
      <c r="B150" s="3041" t="s">
        <v>853</v>
      </c>
      <c r="C150" s="3054" t="s">
        <v>854</v>
      </c>
      <c r="D150" s="3055"/>
      <c r="E150" s="3055"/>
      <c r="F150" s="3056" t="s">
        <v>858</v>
      </c>
      <c r="G150" s="3056"/>
      <c r="H150" s="3056"/>
      <c r="I150" s="3044" t="s">
        <v>855</v>
      </c>
      <c r="J150" s="521"/>
      <c r="K150" s="521"/>
      <c r="L150" s="144"/>
      <c r="M150" s="144"/>
      <c r="N150" s="144"/>
      <c r="O150" s="144"/>
      <c r="P150" s="136"/>
      <c r="Q150" s="136"/>
    </row>
    <row r="151" spans="1:47" ht="15" hidden="1" customHeight="1" outlineLevel="1" thickBot="1">
      <c r="A151" s="3039"/>
      <c r="B151" s="3042"/>
      <c r="C151" s="2918" t="s">
        <v>856</v>
      </c>
      <c r="D151" s="2918" t="s">
        <v>321</v>
      </c>
      <c r="E151" s="2918" t="s">
        <v>857</v>
      </c>
      <c r="F151" s="3057" t="s">
        <v>1228</v>
      </c>
      <c r="G151" s="3057"/>
      <c r="H151" s="3056" t="s">
        <v>1229</v>
      </c>
      <c r="I151" s="3044"/>
      <c r="J151" s="521"/>
      <c r="K151" s="521"/>
      <c r="L151" s="144"/>
      <c r="M151" s="144"/>
      <c r="N151" s="144"/>
      <c r="O151" s="144"/>
      <c r="P151" s="136"/>
      <c r="Q151" s="2973" t="s">
        <v>571</v>
      </c>
      <c r="R151" s="2974"/>
      <c r="S151" s="2974"/>
      <c r="T151" s="2974"/>
      <c r="U151" s="2974"/>
      <c r="V151" s="2974"/>
      <c r="W151" s="2974"/>
      <c r="X151" s="2974"/>
      <c r="Y151" s="2974"/>
      <c r="Z151" s="2974"/>
      <c r="AA151" s="2974"/>
      <c r="AB151" s="2974"/>
      <c r="AC151" s="2974"/>
      <c r="AD151" s="2974"/>
      <c r="AE151" s="2974"/>
      <c r="AF151" s="2974"/>
      <c r="AG151" s="2974"/>
      <c r="AH151" s="2974"/>
      <c r="AI151" s="2974"/>
      <c r="AJ151" s="2974"/>
      <c r="AK151" s="2975"/>
    </row>
    <row r="152" spans="1:47" ht="15" hidden="1" customHeight="1" outlineLevel="1" thickBot="1">
      <c r="A152" s="3040"/>
      <c r="B152" s="3043"/>
      <c r="C152" s="2920"/>
      <c r="D152" s="2920"/>
      <c r="E152" s="2920"/>
      <c r="F152" s="522" t="s">
        <v>859</v>
      </c>
      <c r="G152" s="522" t="s">
        <v>860</v>
      </c>
      <c r="H152" s="3058"/>
      <c r="I152" s="3045"/>
      <c r="J152" s="521"/>
      <c r="K152" s="521"/>
      <c r="L152" s="144"/>
      <c r="M152" s="144"/>
      <c r="N152" s="144"/>
      <c r="O152" s="144"/>
      <c r="P152" s="136"/>
      <c r="Q152" s="524" t="s">
        <v>861</v>
      </c>
      <c r="R152" s="525"/>
      <c r="S152" s="525"/>
      <c r="T152" s="525"/>
      <c r="U152" s="526"/>
      <c r="V152" s="526"/>
      <c r="W152" s="526"/>
      <c r="X152" s="526"/>
      <c r="Y152" s="526"/>
      <c r="Z152" s="526"/>
      <c r="AA152" s="526"/>
      <c r="AB152" s="526"/>
      <c r="AC152" s="526"/>
      <c r="AD152" s="526"/>
      <c r="AE152" s="526"/>
      <c r="AF152" s="526"/>
      <c r="AG152" s="525"/>
      <c r="AH152" s="525"/>
      <c r="AI152" s="525"/>
      <c r="AJ152" s="525"/>
      <c r="AK152" s="527"/>
      <c r="AU152" s="461"/>
    </row>
    <row r="153" spans="1:47" ht="15" hidden="1" customHeight="1" outlineLevel="1" thickBot="1">
      <c r="A153" s="528" t="str">
        <f t="shared" ref="A153" si="194">AT2</f>
        <v>施設長</v>
      </c>
      <c r="B153" s="529">
        <f>'【様式2】職員名簿 '!K11</f>
        <v>0</v>
      </c>
      <c r="C153" s="530"/>
      <c r="D153" s="531"/>
      <c r="E153" s="530"/>
      <c r="F153" s="530"/>
      <c r="G153" s="532"/>
      <c r="H153" s="532"/>
      <c r="I153" s="533">
        <f>B153-SUM($C153:$G153)</f>
        <v>0</v>
      </c>
      <c r="J153" s="534"/>
      <c r="K153" s="534"/>
      <c r="L153" s="144"/>
      <c r="M153" s="144"/>
      <c r="N153" s="144"/>
      <c r="O153" s="144"/>
      <c r="P153" s="136"/>
      <c r="Q153" s="535" t="s">
        <v>862</v>
      </c>
      <c r="R153" s="427"/>
      <c r="S153" s="427"/>
      <c r="T153" s="427"/>
      <c r="U153" s="427"/>
      <c r="V153" s="427"/>
      <c r="W153" s="427"/>
      <c r="X153" s="427"/>
      <c r="Y153" s="427"/>
      <c r="Z153" s="427"/>
      <c r="AA153" s="427"/>
      <c r="AB153" s="427"/>
      <c r="AC153" s="427"/>
      <c r="AD153" s="427"/>
      <c r="AE153" s="427"/>
      <c r="AF153" s="427"/>
      <c r="AG153" s="427"/>
      <c r="AH153" s="427"/>
      <c r="AI153" s="427"/>
      <c r="AJ153" s="427"/>
      <c r="AK153" s="536"/>
      <c r="AU153" s="461"/>
    </row>
    <row r="154" spans="1:47" ht="15" hidden="1" customHeight="1" outlineLevel="1">
      <c r="A154" s="537" t="str">
        <f>AT4</f>
        <v>保育教諭（発令有）</v>
      </c>
      <c r="B154" s="538">
        <f>'【様式2】職員名簿 '!K12</f>
        <v>0</v>
      </c>
      <c r="C154" s="539">
        <f>SUMIF($AG$82:$AG$86,$A154,$AH$82:$AH$86)+SUMIF($AG$82:$AG$86,$AT$3,$AH$82:$AH$86)</f>
        <v>0</v>
      </c>
      <c r="D154" s="540">
        <f>SUMIF($AG$31:$AG$81,$A154,$AH$31:$AH$81)+SUMIF($AG$31:$AG$81,$AT$3,$AH$31:$AH$81)</f>
        <v>0</v>
      </c>
      <c r="E154" s="539">
        <f>SUMIF($AG$90:$AG$146,$A154,$AH$90:$AH$146)+SUMIF($AG$90:$AG$146,$AT$3,$AH$90:$AH$146)</f>
        <v>0</v>
      </c>
      <c r="F154" s="1074"/>
      <c r="G154" s="1075"/>
      <c r="H154" s="548"/>
      <c r="I154" s="541">
        <f>B154-SUM($C154:$G154)</f>
        <v>0</v>
      </c>
      <c r="J154" s="542" t="s">
        <v>863</v>
      </c>
      <c r="K154" s="534"/>
      <c r="L154" s="144"/>
      <c r="M154" s="144"/>
      <c r="N154" s="144"/>
      <c r="O154" s="144"/>
      <c r="P154" s="136"/>
      <c r="Q154" s="3065" t="s">
        <v>811</v>
      </c>
      <c r="R154" s="3066"/>
      <c r="S154" s="543"/>
      <c r="T154" s="3069" t="s">
        <v>812</v>
      </c>
      <c r="U154" s="3072"/>
      <c r="V154" s="3065" t="s">
        <v>814</v>
      </c>
      <c r="W154" s="3075"/>
      <c r="X154" s="3075"/>
      <c r="Y154" s="3075"/>
      <c r="Z154" s="3075"/>
      <c r="AA154" s="3075"/>
      <c r="AB154" s="3075"/>
      <c r="AC154" s="3075"/>
      <c r="AD154" s="3075"/>
      <c r="AE154" s="3075"/>
      <c r="AF154" s="3066"/>
      <c r="AG154" s="3065" t="s">
        <v>815</v>
      </c>
      <c r="AH154" s="3066"/>
      <c r="AI154" s="3076" t="s">
        <v>816</v>
      </c>
      <c r="AJ154" s="3077"/>
      <c r="AK154" s="3078"/>
      <c r="AU154" s="461"/>
    </row>
    <row r="155" spans="1:47" ht="15" hidden="1" customHeight="1" outlineLevel="1" thickBot="1">
      <c r="A155" s="537" t="str">
        <f>AT5</f>
        <v>保育教諭（発令無）</v>
      </c>
      <c r="B155" s="538">
        <f>'【様式2】職員名簿 '!K13</f>
        <v>0</v>
      </c>
      <c r="C155" s="539">
        <f t="shared" ref="C155:C160" si="195">SUMIF($AG$82:$AG$86,$A155,$AH$82:$AH$86)</f>
        <v>0</v>
      </c>
      <c r="D155" s="534">
        <f t="shared" ref="D155:D160" si="196">SUMIF($AG$31:$AG$81,$A155,$AH$31:$AH$81)</f>
        <v>0</v>
      </c>
      <c r="E155" s="747">
        <f t="shared" ref="E155:E160" si="197">SUMIF($AG$90:$AG$146,$A155,$AH$90:$AH$146)</f>
        <v>0</v>
      </c>
      <c r="F155" s="1076"/>
      <c r="G155" s="1077"/>
      <c r="H155" s="548"/>
      <c r="I155" s="541">
        <f>B155-SUM($C155:$G155)</f>
        <v>0</v>
      </c>
      <c r="J155" s="542" t="s">
        <v>1234</v>
      </c>
      <c r="K155" s="534"/>
      <c r="L155" s="144"/>
      <c r="M155" s="144"/>
      <c r="N155" s="144"/>
      <c r="O155" s="144"/>
      <c r="P155" s="136"/>
      <c r="Q155" s="3067"/>
      <c r="R155" s="3068"/>
      <c r="S155" s="547"/>
      <c r="T155" s="3070"/>
      <c r="U155" s="3073"/>
      <c r="V155" s="3079" t="s">
        <v>820</v>
      </c>
      <c r="W155" s="3081" t="s">
        <v>370</v>
      </c>
      <c r="X155" s="3083" t="s">
        <v>822</v>
      </c>
      <c r="Y155" s="3085" t="s">
        <v>823</v>
      </c>
      <c r="Z155" s="3085"/>
      <c r="AA155" s="3085"/>
      <c r="AB155" s="3085"/>
      <c r="AC155" s="3085"/>
      <c r="AD155" s="3086"/>
      <c r="AE155" s="3081" t="s">
        <v>293</v>
      </c>
      <c r="AF155" s="3068" t="s">
        <v>91</v>
      </c>
      <c r="AG155" s="3067"/>
      <c r="AH155" s="3068"/>
      <c r="AI155" s="2887" t="s">
        <v>820</v>
      </c>
      <c r="AJ155" s="2885" t="s">
        <v>94</v>
      </c>
      <c r="AK155" s="3089"/>
      <c r="AU155" s="461"/>
    </row>
    <row r="156" spans="1:47" ht="15" hidden="1" customHeight="1" outlineLevel="1" thickBot="1">
      <c r="A156" s="544" t="str">
        <f>AT6</f>
        <v>栄養士等</v>
      </c>
      <c r="B156" s="538">
        <f>'【様式2】職員名簿 '!K14</f>
        <v>0</v>
      </c>
      <c r="C156" s="539">
        <f t="shared" si="195"/>
        <v>0</v>
      </c>
      <c r="D156" s="546">
        <f t="shared" si="196"/>
        <v>0</v>
      </c>
      <c r="E156" s="545">
        <f t="shared" si="197"/>
        <v>0</v>
      </c>
      <c r="F156" s="1078"/>
      <c r="G156" s="1079"/>
      <c r="H156" s="548"/>
      <c r="I156" s="541">
        <f>B156-SUM($C156:$G156)</f>
        <v>0</v>
      </c>
      <c r="J156" s="534"/>
      <c r="K156" s="534"/>
      <c r="L156" s="144"/>
      <c r="M156" s="144"/>
      <c r="N156" s="144"/>
      <c r="O156" s="144"/>
      <c r="P156" s="136"/>
      <c r="Q156" s="550" t="s">
        <v>245</v>
      </c>
      <c r="R156" s="981" t="s">
        <v>826</v>
      </c>
      <c r="S156" s="551"/>
      <c r="T156" s="3071"/>
      <c r="U156" s="3074"/>
      <c r="V156" s="3080"/>
      <c r="W156" s="3082"/>
      <c r="X156" s="3084"/>
      <c r="Y156" s="980" t="s">
        <v>94</v>
      </c>
      <c r="Z156" s="3091" t="s">
        <v>864</v>
      </c>
      <c r="AA156" s="3091"/>
      <c r="AB156" s="3092"/>
      <c r="AC156" s="3092"/>
      <c r="AD156" s="3093" t="s">
        <v>865</v>
      </c>
      <c r="AE156" s="3087"/>
      <c r="AF156" s="3088"/>
      <c r="AG156" s="550" t="s">
        <v>103</v>
      </c>
      <c r="AH156" s="981" t="s">
        <v>830</v>
      </c>
      <c r="AI156" s="2888"/>
      <c r="AJ156" s="2886"/>
      <c r="AK156" s="3090"/>
      <c r="AU156" s="461"/>
    </row>
    <row r="157" spans="1:47" ht="15" hidden="1" customHeight="1" outlineLevel="1">
      <c r="A157" s="544" t="str">
        <f>AT7</f>
        <v>調理員</v>
      </c>
      <c r="B157" s="538">
        <f>'【様式2】職員名簿 '!K15</f>
        <v>0</v>
      </c>
      <c r="C157" s="539">
        <f t="shared" si="195"/>
        <v>0</v>
      </c>
      <c r="D157" s="546">
        <f t="shared" si="196"/>
        <v>0</v>
      </c>
      <c r="E157" s="545">
        <f t="shared" si="197"/>
        <v>0</v>
      </c>
      <c r="F157" s="548"/>
      <c r="G157" s="1079"/>
      <c r="H157" s="548"/>
      <c r="I157" s="549">
        <f>SUM(B157,F153:F160)-SUM($C157:$G157)</f>
        <v>0</v>
      </c>
      <c r="J157" s="534"/>
      <c r="K157" s="534"/>
      <c r="L157" s="144"/>
      <c r="M157" s="144"/>
      <c r="N157" s="144"/>
      <c r="O157" s="144"/>
      <c r="P157" s="136"/>
      <c r="Q157" s="3029" t="s">
        <v>866</v>
      </c>
      <c r="R157" s="3032" t="s">
        <v>867</v>
      </c>
      <c r="S157" s="553"/>
      <c r="T157" s="3035" t="s">
        <v>868</v>
      </c>
      <c r="U157" s="3099"/>
      <c r="V157" s="554">
        <v>1</v>
      </c>
      <c r="W157" s="555" t="s">
        <v>869</v>
      </c>
      <c r="X157" s="555" t="s">
        <v>870</v>
      </c>
      <c r="Y157" s="555" t="s">
        <v>871</v>
      </c>
      <c r="Z157" s="3021" t="s">
        <v>872</v>
      </c>
      <c r="AA157" s="3022"/>
      <c r="AB157" s="3022"/>
      <c r="AC157" s="3022"/>
      <c r="AD157" s="3094"/>
      <c r="AE157" s="554" t="s">
        <v>873</v>
      </c>
      <c r="AF157" s="556" t="s">
        <v>873</v>
      </c>
      <c r="AG157" s="3059" t="s">
        <v>874</v>
      </c>
      <c r="AH157" s="3060"/>
      <c r="AI157" s="557">
        <v>1</v>
      </c>
      <c r="AJ157" s="3096" t="s">
        <v>875</v>
      </c>
      <c r="AK157" s="3097"/>
      <c r="AU157" s="461"/>
    </row>
    <row r="158" spans="1:47" ht="15" hidden="1" customHeight="1" outlineLevel="1">
      <c r="A158" s="544" t="str">
        <f>AT8</f>
        <v>事務員</v>
      </c>
      <c r="B158" s="538">
        <f>'【様式2】職員名簿 '!K16</f>
        <v>0</v>
      </c>
      <c r="C158" s="539">
        <f t="shared" si="195"/>
        <v>0</v>
      </c>
      <c r="D158" s="546">
        <f t="shared" si="196"/>
        <v>0</v>
      </c>
      <c r="E158" s="545">
        <f t="shared" si="197"/>
        <v>0</v>
      </c>
      <c r="F158" s="1078"/>
      <c r="G158" s="552"/>
      <c r="H158" s="1106">
        <f>SUM(M48:M49)</f>
        <v>0</v>
      </c>
      <c r="I158" s="549">
        <f>SUM(B158,G153:G160,H158)-SUM($C158:$G158)</f>
        <v>0</v>
      </c>
      <c r="J158" s="534"/>
      <c r="K158" s="534"/>
      <c r="L158" s="144"/>
      <c r="M158" s="144"/>
      <c r="N158" s="144"/>
      <c r="O158" s="144"/>
      <c r="P158" s="136"/>
      <c r="Q158" s="3030"/>
      <c r="R158" s="3033"/>
      <c r="S158" s="563"/>
      <c r="T158" s="3036"/>
      <c r="U158" s="3100"/>
      <c r="V158" s="564">
        <v>2</v>
      </c>
      <c r="W158" s="134" t="s">
        <v>871</v>
      </c>
      <c r="X158" s="134" t="s">
        <v>869</v>
      </c>
      <c r="Y158" s="134" t="s">
        <v>69</v>
      </c>
      <c r="Z158" s="3023"/>
      <c r="AA158" s="3024"/>
      <c r="AB158" s="3024"/>
      <c r="AC158" s="3024"/>
      <c r="AD158" s="3094"/>
      <c r="AE158" s="135" t="s">
        <v>876</v>
      </c>
      <c r="AF158" s="565"/>
      <c r="AG158" s="3061"/>
      <c r="AH158" s="3062"/>
      <c r="AI158" s="140">
        <v>2</v>
      </c>
      <c r="AJ158" s="3096" t="s">
        <v>877</v>
      </c>
      <c r="AK158" s="3097"/>
    </row>
    <row r="159" spans="1:47" ht="15" hidden="1" customHeight="1" outlineLevel="1">
      <c r="A159" s="544" t="str">
        <f t="shared" ref="A159:A160" si="198">AT9</f>
        <v>学校医</v>
      </c>
      <c r="B159" s="538">
        <f>'【様式2】職員名簿 '!K17</f>
        <v>0</v>
      </c>
      <c r="C159" s="539">
        <f t="shared" si="195"/>
        <v>0</v>
      </c>
      <c r="D159" s="749">
        <f t="shared" si="196"/>
        <v>0</v>
      </c>
      <c r="E159" s="748">
        <f t="shared" si="197"/>
        <v>0</v>
      </c>
      <c r="F159" s="1080"/>
      <c r="G159" s="750"/>
      <c r="H159" s="548"/>
      <c r="I159" s="541">
        <f>B159-SUM($C159:$G159)</f>
        <v>0</v>
      </c>
      <c r="J159" s="534"/>
      <c r="K159" s="534"/>
      <c r="L159" s="144"/>
      <c r="M159" s="144"/>
      <c r="N159" s="144"/>
      <c r="O159" s="144"/>
      <c r="P159" s="136"/>
      <c r="Q159" s="3030"/>
      <c r="R159" s="3033"/>
      <c r="S159" s="563"/>
      <c r="T159" s="3036"/>
      <c r="U159" s="3100"/>
      <c r="V159" s="564">
        <v>3</v>
      </c>
      <c r="W159" s="134" t="s">
        <v>69</v>
      </c>
      <c r="X159" s="134" t="s">
        <v>69</v>
      </c>
      <c r="Y159" s="134"/>
      <c r="Z159" s="3023"/>
      <c r="AA159" s="3024"/>
      <c r="AB159" s="3024"/>
      <c r="AC159" s="3024"/>
      <c r="AD159" s="3094"/>
      <c r="AE159" s="135" t="s">
        <v>871</v>
      </c>
      <c r="AF159" s="565"/>
      <c r="AG159" s="3061"/>
      <c r="AH159" s="3062"/>
      <c r="AI159" s="140">
        <v>3</v>
      </c>
      <c r="AJ159" s="1829" t="s">
        <v>878</v>
      </c>
      <c r="AK159" s="3098"/>
    </row>
    <row r="160" spans="1:47" ht="15" hidden="1" customHeight="1" outlineLevel="1">
      <c r="A160" s="558" t="str">
        <f t="shared" si="198"/>
        <v>その他</v>
      </c>
      <c r="B160" s="559">
        <f>'【様式2】職員名簿 '!K18</f>
        <v>0</v>
      </c>
      <c r="C160" s="560">
        <f t="shared" si="195"/>
        <v>0</v>
      </c>
      <c r="D160" s="561">
        <f t="shared" si="196"/>
        <v>0</v>
      </c>
      <c r="E160" s="560">
        <f t="shared" si="197"/>
        <v>0</v>
      </c>
      <c r="F160" s="1081"/>
      <c r="G160" s="1082"/>
      <c r="H160" s="1107"/>
      <c r="I160" s="562">
        <f>B160-SUM($C160:$G160)</f>
        <v>0</v>
      </c>
      <c r="J160" s="534"/>
      <c r="K160" s="534"/>
      <c r="L160" s="144"/>
      <c r="M160" s="144"/>
      <c r="N160" s="144"/>
      <c r="O160" s="144"/>
      <c r="P160" s="136"/>
      <c r="Q160" s="3030"/>
      <c r="R160" s="3033"/>
      <c r="S160" s="563"/>
      <c r="T160" s="3036"/>
      <c r="U160" s="3100"/>
      <c r="V160" s="564"/>
      <c r="W160" s="134"/>
      <c r="X160" s="134"/>
      <c r="Y160" s="69"/>
      <c r="Z160" s="3023"/>
      <c r="AA160" s="3024"/>
      <c r="AB160" s="3024"/>
      <c r="AC160" s="3024"/>
      <c r="AD160" s="3094"/>
      <c r="AE160" s="567"/>
      <c r="AF160" s="565"/>
      <c r="AG160" s="3061"/>
      <c r="AH160" s="3062"/>
      <c r="AI160" s="140">
        <v>4</v>
      </c>
      <c r="AJ160" s="1829" t="s">
        <v>880</v>
      </c>
      <c r="AK160" s="3098"/>
    </row>
    <row r="161" spans="1:37" ht="15" hidden="1" customHeight="1" outlineLevel="1" thickBot="1">
      <c r="A161" s="144"/>
      <c r="B161" s="144"/>
      <c r="C161" s="144"/>
      <c r="D161" s="144"/>
      <c r="E161" s="566"/>
      <c r="F161" s="534"/>
      <c r="G161" s="534"/>
      <c r="H161" s="534"/>
      <c r="I161" s="534"/>
      <c r="J161" s="534"/>
      <c r="K161" s="534"/>
      <c r="L161" s="534"/>
      <c r="M161" s="534"/>
      <c r="N161" s="182"/>
      <c r="O161" s="182"/>
      <c r="P161" s="136"/>
      <c r="Q161" s="3031"/>
      <c r="R161" s="3034"/>
      <c r="S161" s="569"/>
      <c r="T161" s="3037"/>
      <c r="U161" s="3101"/>
      <c r="V161" s="570" t="s">
        <v>884</v>
      </c>
      <c r="W161" s="571" t="s">
        <v>885</v>
      </c>
      <c r="X161" s="572"/>
      <c r="Y161" s="572"/>
      <c r="Z161" s="3025"/>
      <c r="AA161" s="3026"/>
      <c r="AB161" s="3026"/>
      <c r="AC161" s="3026"/>
      <c r="AD161" s="3095"/>
      <c r="AE161" s="573"/>
      <c r="AF161" s="574"/>
      <c r="AG161" s="3063"/>
      <c r="AH161" s="3064"/>
      <c r="AI161" s="795">
        <v>5</v>
      </c>
      <c r="AJ161" s="3158" t="s">
        <v>1019</v>
      </c>
      <c r="AK161" s="3159"/>
    </row>
    <row r="162" spans="1:37" ht="15" customHeight="1" collapsed="1" thickBot="1">
      <c r="A162" s="149" t="s">
        <v>879</v>
      </c>
      <c r="B162" s="144"/>
      <c r="C162" s="144"/>
      <c r="D162" s="144"/>
      <c r="E162" s="144"/>
      <c r="F162" s="144"/>
      <c r="G162" s="144"/>
      <c r="H162" s="144"/>
      <c r="I162" s="144"/>
      <c r="J162" s="144"/>
      <c r="K162" s="144"/>
      <c r="L162" s="144"/>
      <c r="M162" s="182"/>
      <c r="N162" s="144"/>
      <c r="O162" s="182" t="s">
        <v>851</v>
      </c>
      <c r="P162" s="136"/>
      <c r="Q162" s="568"/>
    </row>
    <row r="163" spans="1:37" ht="15" customHeight="1">
      <c r="A163" s="720" t="s">
        <v>103</v>
      </c>
      <c r="B163" s="721"/>
      <c r="C163" s="722"/>
      <c r="D163" s="3102" t="s">
        <v>881</v>
      </c>
      <c r="E163" s="3102"/>
      <c r="F163" s="3102"/>
      <c r="G163" s="3102"/>
      <c r="H163" s="3102"/>
      <c r="I163" s="3102"/>
      <c r="J163" s="3102"/>
      <c r="K163" s="3102"/>
      <c r="L163" s="3102"/>
      <c r="M163" s="3103"/>
      <c r="N163" s="3103" t="s">
        <v>882</v>
      </c>
      <c r="O163" s="3105" t="s">
        <v>883</v>
      </c>
      <c r="P163" s="568"/>
      <c r="Q163" s="568"/>
    </row>
    <row r="164" spans="1:37" ht="15" customHeight="1" thickBot="1">
      <c r="A164" s="575" t="s">
        <v>160</v>
      </c>
      <c r="B164" s="2819" t="s">
        <v>817</v>
      </c>
      <c r="C164" s="2820"/>
      <c r="D164" s="2821" t="s">
        <v>886</v>
      </c>
      <c r="E164" s="2821"/>
      <c r="F164" s="2821"/>
      <c r="G164" s="2821"/>
      <c r="H164" s="2821"/>
      <c r="I164" s="2822"/>
      <c r="J164" s="2822"/>
      <c r="K164" s="2822"/>
      <c r="L164" s="576" t="s">
        <v>887</v>
      </c>
      <c r="M164" s="979"/>
      <c r="N164" s="3104"/>
      <c r="O164" s="3106"/>
      <c r="P164" s="568"/>
      <c r="Q164" s="577"/>
    </row>
    <row r="165" spans="1:37" ht="15" customHeight="1">
      <c r="A165" s="2841" t="s">
        <v>728</v>
      </c>
      <c r="B165" s="2843" t="s">
        <v>888</v>
      </c>
      <c r="C165" s="2844"/>
      <c r="D165" s="3122" t="s">
        <v>728</v>
      </c>
      <c r="E165" s="1845"/>
      <c r="F165" s="1845"/>
      <c r="G165" s="1845"/>
      <c r="H165" s="1845"/>
      <c r="I165" s="1845"/>
      <c r="J165" s="1845"/>
      <c r="K165" s="1845"/>
      <c r="L165" s="3125">
        <f>M31</f>
        <v>0</v>
      </c>
      <c r="M165" s="3127">
        <f>SUM(L165)</f>
        <v>0</v>
      </c>
      <c r="N165" s="3178">
        <f>I153</f>
        <v>0</v>
      </c>
      <c r="O165" s="3108">
        <f>N165-M165</f>
        <v>0</v>
      </c>
      <c r="P165" s="577"/>
      <c r="Q165" s="577"/>
    </row>
    <row r="166" spans="1:37" ht="15" customHeight="1">
      <c r="A166" s="2842"/>
      <c r="B166" s="2845"/>
      <c r="C166" s="2846"/>
      <c r="D166" s="3123"/>
      <c r="E166" s="3124"/>
      <c r="F166" s="3124"/>
      <c r="G166" s="3124"/>
      <c r="H166" s="3124"/>
      <c r="I166" s="3124"/>
      <c r="J166" s="3124"/>
      <c r="K166" s="3124"/>
      <c r="L166" s="3126"/>
      <c r="M166" s="3128"/>
      <c r="N166" s="3179"/>
      <c r="O166" s="3109"/>
      <c r="P166" s="577"/>
      <c r="Q166" s="578"/>
    </row>
    <row r="167" spans="1:37" ht="15" customHeight="1">
      <c r="A167" s="2807" t="s">
        <v>969</v>
      </c>
      <c r="B167" s="2808" t="s">
        <v>99</v>
      </c>
      <c r="C167" s="2809"/>
      <c r="D167" s="2653" t="str">
        <f>"1歳児配置改善加算："&amp;IF(AND(Q57,NOT(R57)),"○","×")</f>
        <v>1歳児配置改善加算：×</v>
      </c>
      <c r="E167" s="2654"/>
      <c r="F167" s="1346" t="s">
        <v>1010</v>
      </c>
      <c r="G167" s="777" t="s">
        <v>1011</v>
      </c>
      <c r="H167" s="777" t="s">
        <v>1012</v>
      </c>
      <c r="I167" s="777" t="s">
        <v>1013</v>
      </c>
      <c r="J167" s="777" t="s">
        <v>1014</v>
      </c>
      <c r="K167" s="777" t="s">
        <v>1012</v>
      </c>
      <c r="L167" s="3119">
        <f>SUM(ROUND(SUM(I169:I174),0),ROUND(SUM(J169:J174),0))</f>
        <v>0</v>
      </c>
      <c r="M167" s="3114">
        <f>SUM(L167:L186)</f>
        <v>1.5333333333333332</v>
      </c>
      <c r="N167" s="3114">
        <f>I154</f>
        <v>0</v>
      </c>
      <c r="O167" s="3107">
        <f>N167-M167</f>
        <v>-1.5333333333333332</v>
      </c>
      <c r="P167" s="577"/>
      <c r="Q167" s="578"/>
    </row>
    <row r="168" spans="1:37" ht="15" customHeight="1">
      <c r="A168" s="2656"/>
      <c r="B168" s="2734"/>
      <c r="C168" s="2810"/>
      <c r="D168" s="1586"/>
      <c r="E168" s="1944"/>
      <c r="F168" s="1347"/>
      <c r="G168" s="777"/>
      <c r="H168" s="777"/>
      <c r="I168" s="777"/>
      <c r="J168" s="777"/>
      <c r="K168" s="777"/>
      <c r="L168" s="3120"/>
      <c r="M168" s="3115"/>
      <c r="N168" s="3115"/>
      <c r="O168" s="3108"/>
      <c r="P168" s="577"/>
      <c r="Q168" s="578"/>
    </row>
    <row r="169" spans="1:37" ht="15" customHeight="1">
      <c r="A169" s="2656"/>
      <c r="B169" s="2734"/>
      <c r="C169" s="2810"/>
      <c r="D169" s="3132" t="str">
        <f>"３歳児配置改善加算："&amp;N55</f>
        <v>３歳児配置改善加算：×</v>
      </c>
      <c r="E169" s="3133"/>
      <c r="F169" s="723" t="s">
        <v>1009</v>
      </c>
      <c r="G169" s="780">
        <v>3</v>
      </c>
      <c r="H169" s="2812" t="s">
        <v>889</v>
      </c>
      <c r="I169" s="778">
        <f>ROUNDDOWN($L17/$G169,1)</f>
        <v>0</v>
      </c>
      <c r="J169" s="781">
        <f>ROUNDDOWN($L24/$G169,1)</f>
        <v>0</v>
      </c>
      <c r="K169" s="2812" t="s">
        <v>890</v>
      </c>
      <c r="L169" s="3120"/>
      <c r="M169" s="3115"/>
      <c r="N169" s="3115"/>
      <c r="O169" s="3108"/>
      <c r="P169" s="578"/>
      <c r="Q169" s="578"/>
    </row>
    <row r="170" spans="1:37" ht="15" customHeight="1">
      <c r="A170" s="2656"/>
      <c r="B170" s="2734"/>
      <c r="C170" s="2810"/>
      <c r="D170" s="3132"/>
      <c r="E170" s="3133"/>
      <c r="F170" s="725" t="str">
        <f>IF(AND(Q57,NOT(R57)),"1歳児",IF(AND(Q58,NOT(Q57)),"1・2歳児(満3歳含)","1・2歳児"))</f>
        <v>1・2歳児</v>
      </c>
      <c r="G170" s="780">
        <f>IF(AND(Q57,NOT(R57)),5,6)</f>
        <v>6</v>
      </c>
      <c r="H170" s="2813"/>
      <c r="I170" s="1349">
        <f>IF($F170="1歳児",ROUNDDOWN($K17/$G170,1),IF($F170="1・2歳児(満3歳含)",ROUNDDOWN($I10/$G170,1)+ROUNDDOWN(SUM($J17:$K17)/$G170,1),ROUNDDOWN(SUM($J17:$K17)/$G170,1)))</f>
        <v>0</v>
      </c>
      <c r="J170" s="1350">
        <f>IF(Q57,ROUNDDOWN($K24/$G170,1),ROUNDDOWN(SUM($J24:$K24)/$G170,1))</f>
        <v>0</v>
      </c>
      <c r="K170" s="2813"/>
      <c r="L170" s="3120"/>
      <c r="M170" s="3115"/>
      <c r="N170" s="3115"/>
      <c r="O170" s="3108"/>
      <c r="P170" s="578"/>
      <c r="Q170" s="578"/>
    </row>
    <row r="171" spans="1:37" ht="15" customHeight="1">
      <c r="A171" s="2656"/>
      <c r="B171" s="2734"/>
      <c r="C171" s="2810"/>
      <c r="D171" s="3132" t="str">
        <f>"４歳以上児配置改善加算："&amp;IF(AND(Q56,NOT(R56)),"○","×")</f>
        <v>４歳以上児配置改善加算：×</v>
      </c>
      <c r="E171" s="3133"/>
      <c r="F171" s="724" t="str">
        <f>IF(F170="1歳児",IF(Q58,"2歳児(満3歳含)","2歳児"),"")</f>
        <v/>
      </c>
      <c r="G171" s="1332" t="str">
        <f>IF(G170=5,6,"")</f>
        <v/>
      </c>
      <c r="H171" s="2813"/>
      <c r="I171" s="1356" t="str">
        <f>IF($G170=5,IF(Q58,ROUNDDOWN($I10/$G171,1)+ROUNDDOWN($J17/$G171,1),ROUNDDOWN($J17/$G171,1)),"")</f>
        <v/>
      </c>
      <c r="J171" s="1348" t="str">
        <f>IF($G170=5,ROUNDDOWN($J24/$G171,1),"")</f>
        <v/>
      </c>
      <c r="K171" s="2813"/>
      <c r="L171" s="3120"/>
      <c r="M171" s="3115"/>
      <c r="N171" s="3115"/>
      <c r="O171" s="3108"/>
      <c r="P171" s="578"/>
      <c r="Q171" s="578"/>
    </row>
    <row r="172" spans="1:37" ht="15" customHeight="1">
      <c r="A172" s="2656"/>
      <c r="B172" s="2734"/>
      <c r="C172" s="2810"/>
      <c r="D172" s="3132"/>
      <c r="E172" s="3133"/>
      <c r="F172" s="725" t="str">
        <f>"３歳児"&amp;IF(Q58,"","(満３歳含)")</f>
        <v>３歳児(満３歳含)</v>
      </c>
      <c r="G172" s="780">
        <f>IF(Q55,15,20)</f>
        <v>20</v>
      </c>
      <c r="H172" s="2813"/>
      <c r="I172" s="1357">
        <f>IF($F172="３歳児(満３歳含)",ROUNDDOWN($I10/$G172,1)+ROUNDDOWN(SUM($H10+$H17)/$G172,1),ROUNDDOWN(SUM($H10+$H17)/$G172,1))</f>
        <v>0</v>
      </c>
      <c r="J172" s="782" t="s">
        <v>1015</v>
      </c>
      <c r="K172" s="2813"/>
      <c r="L172" s="3120"/>
      <c r="M172" s="3115"/>
      <c r="N172" s="3115"/>
      <c r="O172" s="3108"/>
      <c r="P172" s="578"/>
      <c r="Q172" s="578"/>
    </row>
    <row r="173" spans="1:37" ht="15" customHeight="1">
      <c r="A173" s="2656"/>
      <c r="B173" s="2734"/>
      <c r="C173" s="2810"/>
      <c r="D173" s="3132" t="str">
        <f>"満３歳児対応加配加算："&amp;N58</f>
        <v>満３歳児対応加配加算：×</v>
      </c>
      <c r="E173" s="3133"/>
      <c r="F173" s="723" t="s">
        <v>891</v>
      </c>
      <c r="G173" s="3164">
        <f>IF(AND(Q56,NOT(R56)),25,30)</f>
        <v>30</v>
      </c>
      <c r="H173" s="2813"/>
      <c r="I173" s="3166">
        <f>ROUNDDOWN(SUM($F10:$G10,$F17:$G17)/$G173,1)</f>
        <v>0</v>
      </c>
      <c r="J173" s="3117" t="s">
        <v>1015</v>
      </c>
      <c r="K173" s="2813"/>
      <c r="L173" s="3120"/>
      <c r="M173" s="3115"/>
      <c r="N173" s="3115"/>
      <c r="O173" s="3108"/>
      <c r="P173" s="578"/>
      <c r="Q173" s="578"/>
    </row>
    <row r="174" spans="1:37" ht="15" customHeight="1">
      <c r="A174" s="2656"/>
      <c r="B174" s="2735"/>
      <c r="C174" s="2811"/>
      <c r="D174" s="3134"/>
      <c r="E174" s="3135"/>
      <c r="F174" s="779" t="s">
        <v>892</v>
      </c>
      <c r="G174" s="3165"/>
      <c r="H174" s="2814"/>
      <c r="I174" s="3167"/>
      <c r="J174" s="3118"/>
      <c r="K174" s="2814"/>
      <c r="L174" s="3121"/>
      <c r="M174" s="3115"/>
      <c r="N174" s="3115"/>
      <c r="O174" s="3108"/>
      <c r="P174" s="578"/>
      <c r="Q174" s="578"/>
    </row>
    <row r="175" spans="1:37" ht="15" customHeight="1">
      <c r="A175" s="2656"/>
      <c r="B175" s="2827" t="s">
        <v>831</v>
      </c>
      <c r="C175" s="484" t="s">
        <v>270</v>
      </c>
      <c r="D175" s="2847" t="s">
        <v>893</v>
      </c>
      <c r="E175" s="2848"/>
      <c r="F175" s="2848"/>
      <c r="G175" s="2848"/>
      <c r="H175" s="2848"/>
      <c r="I175" s="2848"/>
      <c r="J175" s="2848"/>
      <c r="K175" s="2848"/>
      <c r="L175" s="1117">
        <f>R32</f>
        <v>0</v>
      </c>
      <c r="M175" s="3115"/>
      <c r="N175" s="3115"/>
      <c r="O175" s="3108"/>
      <c r="P175" s="578"/>
      <c r="Q175" s="578"/>
      <c r="R175" s="579"/>
      <c r="S175" s="579"/>
      <c r="T175" s="579"/>
      <c r="U175" s="579"/>
      <c r="V175" s="579"/>
      <c r="W175" s="579"/>
      <c r="X175" s="579"/>
      <c r="Y175" s="579"/>
      <c r="Z175" s="579"/>
      <c r="AA175" s="579"/>
      <c r="AB175" s="579"/>
      <c r="AC175" s="579"/>
      <c r="AD175" s="579"/>
      <c r="AE175" s="579"/>
      <c r="AF175" s="579"/>
      <c r="AG175" s="579"/>
      <c r="AH175" s="579"/>
      <c r="AI175" s="579"/>
      <c r="AJ175" s="579"/>
      <c r="AK175" s="579"/>
    </row>
    <row r="176" spans="1:37" ht="15" customHeight="1">
      <c r="A176" s="2656"/>
      <c r="B176" s="2828"/>
      <c r="C176" s="451" t="s">
        <v>894</v>
      </c>
      <c r="D176" s="2849" t="s">
        <v>895</v>
      </c>
      <c r="E176" s="1840"/>
      <c r="F176" s="1840"/>
      <c r="G176" s="1840"/>
      <c r="H176" s="1840"/>
      <c r="I176" s="1840"/>
      <c r="J176" s="1840"/>
      <c r="K176" s="1840"/>
      <c r="L176" s="1118">
        <f>R33</f>
        <v>0</v>
      </c>
      <c r="M176" s="3115"/>
      <c r="N176" s="3115"/>
      <c r="O176" s="3108"/>
      <c r="P176" s="578"/>
      <c r="Q176" s="578"/>
      <c r="R176" s="579"/>
      <c r="S176" s="579"/>
      <c r="T176" s="579"/>
      <c r="U176" s="579"/>
      <c r="V176" s="579"/>
      <c r="W176" s="579"/>
      <c r="X176" s="579"/>
      <c r="Y176" s="579"/>
      <c r="Z176" s="579"/>
      <c r="AA176" s="579"/>
      <c r="AB176" s="579"/>
      <c r="AC176" s="579"/>
      <c r="AD176" s="579"/>
      <c r="AE176" s="579"/>
      <c r="AF176" s="579"/>
      <c r="AG176" s="579"/>
      <c r="AH176" s="579"/>
      <c r="AI176" s="579"/>
      <c r="AJ176" s="579"/>
      <c r="AK176" s="579"/>
    </row>
    <row r="177" spans="1:47" ht="15" customHeight="1">
      <c r="A177" s="2656"/>
      <c r="B177" s="2828"/>
      <c r="C177" s="457" t="s">
        <v>996</v>
      </c>
      <c r="D177" s="3168" t="s">
        <v>897</v>
      </c>
      <c r="E177" s="3169"/>
      <c r="F177" s="3169"/>
      <c r="G177" s="3169"/>
      <c r="H177" s="3169"/>
      <c r="I177" s="3169"/>
      <c r="J177" s="3169"/>
      <c r="K177" s="3169"/>
      <c r="L177" s="1119">
        <v>1</v>
      </c>
      <c r="M177" s="3115"/>
      <c r="N177" s="3115"/>
      <c r="O177" s="3108"/>
      <c r="P177" s="578"/>
      <c r="Q177" s="578"/>
      <c r="R177" s="579"/>
      <c r="S177" s="579"/>
      <c r="T177" s="579"/>
      <c r="U177" s="579"/>
      <c r="V177" s="579"/>
      <c r="W177" s="579"/>
      <c r="X177" s="579"/>
      <c r="Y177" s="579"/>
      <c r="Z177" s="579"/>
      <c r="AA177" s="579"/>
      <c r="AB177" s="579"/>
      <c r="AC177" s="579"/>
      <c r="AD177" s="579"/>
      <c r="AE177" s="579"/>
      <c r="AF177" s="579"/>
      <c r="AG177" s="579"/>
      <c r="AH177" s="579"/>
      <c r="AI177" s="579"/>
      <c r="AJ177" s="579"/>
      <c r="AK177" s="579"/>
      <c r="AU177" s="589"/>
    </row>
    <row r="178" spans="1:47" ht="15" customHeight="1">
      <c r="A178" s="2656"/>
      <c r="B178" s="2828"/>
      <c r="C178" s="2838" t="s">
        <v>997</v>
      </c>
      <c r="D178" s="2829" t="s">
        <v>990</v>
      </c>
      <c r="E178" s="2830"/>
      <c r="F178" s="2830"/>
      <c r="G178" s="2830"/>
      <c r="H178" s="2830"/>
      <c r="I178" s="2830"/>
      <c r="J178" s="2830"/>
      <c r="K178" s="2830"/>
      <c r="L178" s="3129">
        <f>MAX(I179,0.5)</f>
        <v>0.53333333333333333</v>
      </c>
      <c r="M178" s="3112" t="s">
        <v>1007</v>
      </c>
      <c r="N178" s="3115"/>
      <c r="O178" s="3108"/>
      <c r="P178" s="578"/>
      <c r="Q178" s="578"/>
      <c r="R178" s="579"/>
      <c r="S178" s="579"/>
      <c r="T178" s="579"/>
      <c r="U178" s="579"/>
      <c r="V178" s="579"/>
      <c r="W178" s="579"/>
      <c r="X178" s="579"/>
      <c r="Y178" s="579"/>
      <c r="Z178" s="579"/>
      <c r="AA178" s="579"/>
      <c r="AB178" s="579"/>
      <c r="AC178" s="579"/>
      <c r="AD178" s="579"/>
      <c r="AE178" s="579"/>
      <c r="AF178" s="579"/>
      <c r="AG178" s="579"/>
      <c r="AH178" s="579"/>
      <c r="AI178" s="579"/>
      <c r="AJ178" s="579"/>
      <c r="AK178" s="579"/>
    </row>
    <row r="179" spans="1:47" ht="15" customHeight="1">
      <c r="A179" s="2656"/>
      <c r="B179" s="2828"/>
      <c r="C179" s="2839"/>
      <c r="D179" s="764" t="s">
        <v>991</v>
      </c>
      <c r="E179" s="765"/>
      <c r="F179" s="766">
        <f>【様式１】総括表・個票!U85</f>
        <v>4</v>
      </c>
      <c r="G179" s="1903" t="s">
        <v>992</v>
      </c>
      <c r="H179" s="1903"/>
      <c r="I179" s="2831">
        <f>IFERROR(F179/F180,1)</f>
        <v>0.53333333333333333</v>
      </c>
      <c r="J179" s="2833" t="s">
        <v>993</v>
      </c>
      <c r="K179" s="2834"/>
      <c r="L179" s="3130"/>
      <c r="M179" s="3113"/>
      <c r="N179" s="3115"/>
      <c r="O179" s="3108"/>
      <c r="P179" s="578"/>
      <c r="Q179" s="578"/>
      <c r="R179" s="579"/>
      <c r="S179" s="579"/>
      <c r="T179" s="579"/>
      <c r="U179" s="579"/>
      <c r="V179" s="579"/>
      <c r="W179" s="579"/>
      <c r="X179" s="579"/>
      <c r="Y179" s="579"/>
      <c r="Z179" s="579"/>
      <c r="AA179" s="579"/>
      <c r="AB179" s="579"/>
      <c r="AC179" s="579"/>
      <c r="AD179" s="579"/>
      <c r="AE179" s="579"/>
      <c r="AF179" s="579"/>
      <c r="AG179" s="579"/>
      <c r="AH179" s="579"/>
      <c r="AI179" s="579"/>
      <c r="AJ179" s="579"/>
      <c r="AK179" s="579"/>
    </row>
    <row r="180" spans="1:47" ht="15" customHeight="1">
      <c r="A180" s="2656"/>
      <c r="B180" s="2828"/>
      <c r="C180" s="2840"/>
      <c r="D180" s="767" t="s">
        <v>994</v>
      </c>
      <c r="E180" s="768"/>
      <c r="F180" s="769">
        <f>【様式１】総括表・個票!U86</f>
        <v>7.5</v>
      </c>
      <c r="G180" s="2835" t="s">
        <v>995</v>
      </c>
      <c r="H180" s="2835"/>
      <c r="I180" s="2832"/>
      <c r="J180" s="2836" t="s">
        <v>1406</v>
      </c>
      <c r="K180" s="2837"/>
      <c r="L180" s="3131"/>
      <c r="M180" s="3113"/>
      <c r="N180" s="3115"/>
      <c r="O180" s="3108"/>
      <c r="P180" s="578"/>
      <c r="Q180" s="578"/>
      <c r="R180" s="579"/>
      <c r="S180" s="579"/>
      <c r="T180" s="579"/>
      <c r="U180" s="579"/>
      <c r="V180" s="579"/>
      <c r="W180" s="579"/>
      <c r="X180" s="579"/>
      <c r="Y180" s="579"/>
      <c r="Z180" s="579"/>
      <c r="AA180" s="579"/>
      <c r="AB180" s="579"/>
      <c r="AC180" s="579"/>
      <c r="AD180" s="579"/>
      <c r="AE180" s="579"/>
      <c r="AF180" s="579"/>
      <c r="AG180" s="579"/>
      <c r="AH180" s="579"/>
      <c r="AI180" s="579"/>
      <c r="AJ180" s="579"/>
      <c r="AK180" s="579"/>
    </row>
    <row r="181" spans="1:47" ht="15" customHeight="1">
      <c r="A181" s="2656"/>
      <c r="B181" s="2815" t="s">
        <v>999</v>
      </c>
      <c r="C181" s="2816"/>
      <c r="D181" s="2817" t="s">
        <v>1000</v>
      </c>
      <c r="E181" s="2818"/>
      <c r="F181" s="2818"/>
      <c r="G181" s="2818"/>
      <c r="H181" s="2818"/>
      <c r="I181" s="2818"/>
      <c r="J181" s="2818"/>
      <c r="K181" s="2818"/>
      <c r="L181" s="1120">
        <f>IF(N53="○",1,0)</f>
        <v>0</v>
      </c>
      <c r="M181" s="3113"/>
      <c r="N181" s="3115"/>
      <c r="O181" s="3108"/>
      <c r="P181" s="578"/>
      <c r="Q181" s="578"/>
      <c r="R181" s="579"/>
      <c r="S181" s="579"/>
      <c r="T181" s="579"/>
      <c r="U181" s="579"/>
      <c r="V181" s="579"/>
      <c r="W181" s="579"/>
      <c r="X181" s="579"/>
      <c r="Y181" s="579"/>
      <c r="Z181" s="579"/>
      <c r="AA181" s="579"/>
      <c r="AB181" s="579"/>
      <c r="AC181" s="579"/>
      <c r="AD181" s="579"/>
      <c r="AE181" s="579"/>
      <c r="AF181" s="579"/>
      <c r="AG181" s="579"/>
      <c r="AH181" s="579"/>
      <c r="AI181" s="579"/>
      <c r="AJ181" s="579"/>
      <c r="AK181" s="579"/>
    </row>
    <row r="182" spans="1:47" ht="15" customHeight="1">
      <c r="A182" s="2656"/>
      <c r="B182" s="2815" t="s">
        <v>998</v>
      </c>
      <c r="C182" s="2816"/>
      <c r="D182" s="2817" t="str">
        <f>F54</f>
        <v/>
      </c>
      <c r="E182" s="2818"/>
      <c r="F182" s="2818"/>
      <c r="G182" s="2818"/>
      <c r="H182" s="2818"/>
      <c r="I182" s="2818"/>
      <c r="J182" s="2818"/>
      <c r="K182" s="2818"/>
      <c r="L182" s="1120">
        <f>IF(W54,1,0)</f>
        <v>0</v>
      </c>
      <c r="M182" s="3113"/>
      <c r="N182" s="3115"/>
      <c r="O182" s="3108"/>
      <c r="P182" s="578"/>
      <c r="Q182" s="578"/>
      <c r="R182" s="579"/>
      <c r="S182" s="581"/>
      <c r="T182" s="581"/>
      <c r="U182" s="581"/>
      <c r="V182" s="581"/>
      <c r="W182" s="581"/>
      <c r="X182" s="581"/>
      <c r="Y182" s="581"/>
      <c r="Z182" s="581"/>
      <c r="AA182" s="581"/>
      <c r="AB182" s="581"/>
      <c r="AC182" s="581"/>
      <c r="AD182" s="581"/>
      <c r="AE182" s="581"/>
      <c r="AF182" s="581"/>
      <c r="AG182" s="581"/>
      <c r="AH182" s="581"/>
      <c r="AI182" s="581"/>
      <c r="AJ182" s="581"/>
      <c r="AK182" s="581"/>
    </row>
    <row r="183" spans="1:47" ht="15" customHeight="1">
      <c r="A183" s="2656"/>
      <c r="B183" s="2815" t="s">
        <v>1001</v>
      </c>
      <c r="C183" s="2816"/>
      <c r="D183" s="2817" t="str">
        <f>"教諭（下限："&amp;IF(AM81,AM82&amp;"時間","なし")&amp;"）"</f>
        <v>教諭（下限：なし）</v>
      </c>
      <c r="E183" s="2818"/>
      <c r="F183" s="2818"/>
      <c r="G183" s="2818"/>
      <c r="H183" s="2818"/>
      <c r="I183" s="2818"/>
      <c r="J183" s="2818"/>
      <c r="K183" s="2818"/>
      <c r="L183" s="1120">
        <f>IF(W59,M59,0)</f>
        <v>0</v>
      </c>
      <c r="M183" s="3113"/>
      <c r="N183" s="3115"/>
      <c r="O183" s="3108"/>
      <c r="P183" s="578"/>
      <c r="Q183" s="578"/>
      <c r="R183" s="579"/>
      <c r="S183" s="581"/>
      <c r="T183" s="581"/>
      <c r="U183" s="581"/>
      <c r="V183" s="581"/>
      <c r="W183" s="581"/>
      <c r="X183" s="581"/>
      <c r="Y183" s="581"/>
      <c r="Z183" s="581"/>
      <c r="AA183" s="581"/>
      <c r="AB183" s="581"/>
      <c r="AC183" s="581"/>
      <c r="AD183" s="581"/>
      <c r="AE183" s="581"/>
      <c r="AF183" s="581"/>
      <c r="AG183" s="581"/>
      <c r="AH183" s="581"/>
      <c r="AI183" s="581"/>
      <c r="AJ183" s="581"/>
      <c r="AK183" s="581"/>
    </row>
    <row r="184" spans="1:47" ht="15" customHeight="1">
      <c r="A184" s="2656"/>
      <c r="B184" s="3170" t="s">
        <v>131</v>
      </c>
      <c r="C184" s="3171"/>
      <c r="D184" s="3172" t="s">
        <v>896</v>
      </c>
      <c r="E184" s="3173"/>
      <c r="F184" s="3173"/>
      <c r="G184" s="3173"/>
      <c r="H184" s="3173"/>
      <c r="I184" s="3173"/>
      <c r="J184" s="3173"/>
      <c r="K184" s="3174"/>
      <c r="L184" s="1121">
        <f>SUM(M64:M73)</f>
        <v>0</v>
      </c>
      <c r="M184" s="3113"/>
      <c r="N184" s="3115"/>
      <c r="O184" s="3108"/>
      <c r="P184" s="578"/>
      <c r="Q184" s="580"/>
      <c r="R184" s="579"/>
      <c r="S184" s="581"/>
      <c r="T184" s="581"/>
      <c r="U184" s="581"/>
      <c r="V184" s="581"/>
      <c r="W184" s="581"/>
      <c r="X184" s="581"/>
      <c r="Y184" s="581"/>
      <c r="Z184" s="581"/>
      <c r="AA184" s="581"/>
      <c r="AB184" s="581"/>
      <c r="AC184" s="581"/>
      <c r="AD184" s="581"/>
      <c r="AE184" s="581"/>
      <c r="AF184" s="581"/>
      <c r="AG184" s="581"/>
      <c r="AH184" s="581"/>
      <c r="AI184" s="581"/>
      <c r="AJ184" s="581"/>
      <c r="AK184" s="581"/>
    </row>
    <row r="185" spans="1:47" ht="15" customHeight="1">
      <c r="A185" s="2656"/>
      <c r="B185" s="2733" t="s">
        <v>1020</v>
      </c>
      <c r="C185" s="3161"/>
      <c r="D185" s="3148" t="s">
        <v>1008</v>
      </c>
      <c r="E185" s="3162"/>
      <c r="F185" s="3162"/>
      <c r="G185" s="3162"/>
      <c r="H185" s="3162"/>
      <c r="I185" s="3162"/>
      <c r="J185" s="3162"/>
      <c r="K185" s="3163"/>
      <c r="L185" s="1116">
        <f>IF(E62=0,0,IF(E62&gt;J63,"エラー",IF(I154-M185-E62&gt;=0,E62,I154-M185)))</f>
        <v>0</v>
      </c>
      <c r="M185" s="3110">
        <f>SUM(L167:L184,L186)</f>
        <v>1.5333333333333332</v>
      </c>
      <c r="N185" s="3115"/>
      <c r="O185" s="3108"/>
      <c r="P185" s="580"/>
      <c r="Q185" s="580"/>
      <c r="R185" s="579"/>
      <c r="S185" s="587"/>
      <c r="T185" s="587"/>
      <c r="U185" s="587"/>
      <c r="V185" s="587"/>
      <c r="W185" s="587"/>
      <c r="X185" s="587"/>
      <c r="Y185" s="577"/>
      <c r="Z185" s="577"/>
      <c r="AA185" s="577"/>
      <c r="AB185" s="577"/>
      <c r="AC185" s="577"/>
      <c r="AD185" s="587"/>
      <c r="AE185" s="587"/>
      <c r="AF185" s="587"/>
      <c r="AG185" s="577"/>
      <c r="AH185" s="577"/>
      <c r="AI185" s="577"/>
      <c r="AJ185" s="577"/>
      <c r="AK185" s="577"/>
    </row>
    <row r="186" spans="1:47" ht="15" customHeight="1">
      <c r="A186" s="2657"/>
      <c r="B186" s="2823" t="s">
        <v>1002</v>
      </c>
      <c r="C186" s="2824"/>
      <c r="D186" s="2825" t="str">
        <f>D183</f>
        <v>教諭（下限：なし）</v>
      </c>
      <c r="E186" s="2826"/>
      <c r="F186" s="2826"/>
      <c r="G186" s="2826"/>
      <c r="H186" s="2826"/>
      <c r="I186" s="2826"/>
      <c r="J186" s="2826"/>
      <c r="K186" s="2826"/>
      <c r="L186" s="1122">
        <f>IF(W74,M74,0)</f>
        <v>0</v>
      </c>
      <c r="M186" s="3111"/>
      <c r="N186" s="3116"/>
      <c r="O186" s="3109"/>
      <c r="P186" s="580"/>
      <c r="Q186" s="580"/>
      <c r="R186" s="579"/>
    </row>
    <row r="187" spans="1:47" ht="24.95" customHeight="1">
      <c r="A187" s="940" t="s">
        <v>1643</v>
      </c>
      <c r="B187" s="3145" t="s">
        <v>898</v>
      </c>
      <c r="C187" s="3146"/>
      <c r="D187" s="1485" t="str">
        <f>IF(R76=1,"栄養管理加算（配置）の場合は専任栄養士等",IF(OR(R76=2,R76=3),"栄養管理加算（兼務又は嘱託）の場合は専任栄養士等の配置不要",""))</f>
        <v/>
      </c>
      <c r="E187" s="1485"/>
      <c r="F187" s="1485"/>
      <c r="G187" s="1485"/>
      <c r="H187" s="1485"/>
      <c r="I187" s="3138"/>
      <c r="J187" s="3138"/>
      <c r="K187" s="3138"/>
      <c r="L187" s="1123">
        <f>IF(R76=1,M76,0)</f>
        <v>0</v>
      </c>
      <c r="M187" s="3139">
        <f>SUM(L187:L188)</f>
        <v>1</v>
      </c>
      <c r="N187" s="3114">
        <f>SUM(I156:I157)</f>
        <v>0</v>
      </c>
      <c r="O187" s="3141">
        <f>N187-M187</f>
        <v>-1</v>
      </c>
      <c r="P187" s="580"/>
      <c r="Q187" s="580"/>
      <c r="R187" s="581"/>
    </row>
    <row r="188" spans="1:47" ht="24.95" customHeight="1">
      <c r="A188" s="989" t="s">
        <v>157</v>
      </c>
      <c r="B188" s="3136" t="s">
        <v>831</v>
      </c>
      <c r="C188" s="3137"/>
      <c r="D188" s="3143" t="str">
        <f>IF(R38=1,F38&amp;"（下限："&amp;IF(AM2,AM3&amp;"時間","なし")&amp;"）",F38)</f>
        <v>利用定員0人は常勤換算１人（下限：なし）</v>
      </c>
      <c r="E188" s="3143"/>
      <c r="F188" s="3143"/>
      <c r="G188" s="3143"/>
      <c r="H188" s="3143"/>
      <c r="I188" s="3144"/>
      <c r="J188" s="3144"/>
      <c r="K188" s="3144"/>
      <c r="L188" s="1123">
        <f>IF(R38=1,IF(B17&lt;=40,1,IF(B17&lt;=150,2,2+M40)),0)+IF(B24&gt;0,IF(【様式１】総括表・個票!AI79,0,IF(B24&lt;=40,1,2)),0)</f>
        <v>1</v>
      </c>
      <c r="M188" s="3140"/>
      <c r="N188" s="3116"/>
      <c r="O188" s="3142"/>
      <c r="P188" s="580"/>
      <c r="Q188" s="580"/>
      <c r="R188" s="581"/>
    </row>
    <row r="189" spans="1:47" ht="15" customHeight="1">
      <c r="A189" s="2807" t="s">
        <v>729</v>
      </c>
      <c r="B189" s="3152" t="s">
        <v>899</v>
      </c>
      <c r="C189" s="3153"/>
      <c r="D189" s="3155" t="str">
        <f>F42</f>
        <v>本園：兼務１名</v>
      </c>
      <c r="E189" s="3156"/>
      <c r="F189" s="3156"/>
      <c r="G189" s="3156"/>
      <c r="H189" s="3156"/>
      <c r="I189" s="3156"/>
      <c r="J189" s="3156"/>
      <c r="K189" s="3157"/>
      <c r="L189" s="1124">
        <f>IF(R42=1,1+M45+IF(B8&gt;=91,M44,0)+IF(C20&gt;0,1+M47,0),IF(R42=2,M48+IF(C20&gt;0,M49,0),IF(R42=3,0,"エラー")))</f>
        <v>0</v>
      </c>
      <c r="M189" s="3114">
        <f>SUM(L189:L191)</f>
        <v>0</v>
      </c>
      <c r="N189" s="3114">
        <f>I158</f>
        <v>0</v>
      </c>
      <c r="O189" s="3141">
        <f>N189-M189</f>
        <v>0</v>
      </c>
      <c r="P189" s="580"/>
      <c r="Q189" s="580"/>
      <c r="R189" s="581"/>
    </row>
    <row r="190" spans="1:47" ht="15" customHeight="1">
      <c r="A190" s="2656"/>
      <c r="B190" s="2815" t="s">
        <v>900</v>
      </c>
      <c r="C190" s="2816"/>
      <c r="D190" s="3147" t="str">
        <f>IF(N124="○","事務員（下限："&amp;IF(AM79,AM80&amp;"時間","なし")&amp;"）","")</f>
        <v/>
      </c>
      <c r="E190" s="3147"/>
      <c r="F190" s="3147"/>
      <c r="G190" s="3147"/>
      <c r="H190" s="3147"/>
      <c r="I190" s="3148"/>
      <c r="J190" s="3148"/>
      <c r="K190" s="3148"/>
      <c r="L190" s="1125">
        <f>IF(W79,M79,0)</f>
        <v>0</v>
      </c>
      <c r="M190" s="3115"/>
      <c r="N190" s="3115"/>
      <c r="O190" s="3154"/>
    </row>
    <row r="191" spans="1:47" ht="15" customHeight="1">
      <c r="A191" s="2657"/>
      <c r="B191" s="3149" t="s">
        <v>1003</v>
      </c>
      <c r="C191" s="3150"/>
      <c r="D191" s="3151" t="str">
        <f>IF(N125="○","事務員（下限："&amp;IF(AM79,AM80&amp;"時間","なし")&amp;"）","")</f>
        <v/>
      </c>
      <c r="E191" s="3151"/>
      <c r="F191" s="3151"/>
      <c r="G191" s="3151"/>
      <c r="H191" s="3151"/>
      <c r="I191" s="1925"/>
      <c r="J191" s="1925"/>
      <c r="K191" s="1925"/>
      <c r="L191" s="1126">
        <f>IF(W80,M80,0)</f>
        <v>0</v>
      </c>
      <c r="M191" s="3116"/>
      <c r="N191" s="3116"/>
      <c r="O191" s="3142"/>
    </row>
    <row r="192" spans="1:47">
      <c r="A192" s="491" t="s">
        <v>1004</v>
      </c>
      <c r="B192" s="3136" t="s">
        <v>1005</v>
      </c>
      <c r="C192" s="3137"/>
      <c r="D192" s="3138" t="str">
        <f>IF(R51=2,"嘱託のため配置不要","学校医等")</f>
        <v>嘱託のため配置不要</v>
      </c>
      <c r="E192" s="1915"/>
      <c r="F192" s="1915"/>
      <c r="G192" s="1915"/>
      <c r="H192" s="1915"/>
      <c r="I192" s="1915"/>
      <c r="J192" s="1915"/>
      <c r="K192" s="1915"/>
      <c r="L192" s="1127">
        <f>M51</f>
        <v>0</v>
      </c>
      <c r="M192" s="1128">
        <f>L192</f>
        <v>0</v>
      </c>
      <c r="N192" s="776">
        <f>I159</f>
        <v>0</v>
      </c>
      <c r="O192" s="583">
        <f>N192-M192</f>
        <v>0</v>
      </c>
    </row>
    <row r="193" spans="1:37">
      <c r="A193" s="940" t="s">
        <v>7</v>
      </c>
      <c r="B193" s="3136" t="s">
        <v>7</v>
      </c>
      <c r="C193" s="3137"/>
      <c r="D193" s="3138" t="s">
        <v>1269</v>
      </c>
      <c r="E193" s="1915"/>
      <c r="F193" s="1915"/>
      <c r="G193" s="1915"/>
      <c r="H193" s="1915"/>
      <c r="I193" s="1915"/>
      <c r="J193" s="1915"/>
      <c r="K193" s="1915"/>
      <c r="L193" s="1127" t="s">
        <v>807</v>
      </c>
      <c r="M193" s="582" t="s">
        <v>750</v>
      </c>
      <c r="N193" s="582">
        <f>I160+I155</f>
        <v>0</v>
      </c>
      <c r="O193" s="583">
        <f>N193</f>
        <v>0</v>
      </c>
    </row>
    <row r="194" spans="1:37">
      <c r="B194" s="136"/>
      <c r="C194" s="312"/>
      <c r="D194" s="138"/>
      <c r="E194" s="138"/>
      <c r="F194" s="138"/>
      <c r="G194" s="138"/>
      <c r="H194" s="138"/>
      <c r="I194" s="138"/>
      <c r="J194" s="138"/>
      <c r="K194" s="138"/>
      <c r="L194" s="584"/>
      <c r="M194" s="585"/>
      <c r="N194" s="585"/>
      <c r="O194" s="586"/>
    </row>
    <row r="195" spans="1:37">
      <c r="B195" s="1129" t="s">
        <v>1250</v>
      </c>
    </row>
    <row r="196" spans="1:37">
      <c r="B196" s="1130"/>
      <c r="C196" s="1131"/>
      <c r="D196" s="1131"/>
      <c r="E196" s="1131"/>
      <c r="F196" s="1131"/>
      <c r="G196" s="1131"/>
      <c r="H196" s="1131"/>
      <c r="I196" s="1131"/>
      <c r="J196" s="1131"/>
      <c r="K196" s="1132"/>
      <c r="L196" s="1130"/>
      <c r="M196" s="1131"/>
      <c r="N196" s="1131"/>
      <c r="O196" s="1132"/>
    </row>
    <row r="197" spans="1:37">
      <c r="B197" s="1133" t="s">
        <v>1251</v>
      </c>
      <c r="K197" s="1134"/>
      <c r="L197" s="1133" t="s">
        <v>1252</v>
      </c>
      <c r="O197" s="1134"/>
      <c r="S197" s="461"/>
      <c r="T197" s="461"/>
      <c r="U197" s="461"/>
      <c r="V197" s="461"/>
      <c r="W197" s="461"/>
      <c r="X197" s="461"/>
      <c r="Y197" s="461"/>
      <c r="Z197" s="461"/>
      <c r="AA197" s="461"/>
      <c r="AB197" s="461"/>
      <c r="AC197" s="461"/>
      <c r="AD197" s="461"/>
      <c r="AE197" s="461"/>
      <c r="AF197" s="461"/>
      <c r="AG197" s="461"/>
      <c r="AH197" s="461"/>
      <c r="AI197" s="461"/>
      <c r="AJ197" s="461"/>
      <c r="AK197" s="461"/>
    </row>
    <row r="198" spans="1:37">
      <c r="B198" s="1133" t="s">
        <v>1253</v>
      </c>
      <c r="K198" s="1134"/>
      <c r="L198" s="1133"/>
      <c r="O198" s="1134"/>
      <c r="S198" s="588"/>
      <c r="T198" s="588"/>
      <c r="U198" s="588"/>
      <c r="V198" s="588"/>
      <c r="W198" s="588"/>
      <c r="X198" s="588"/>
      <c r="AD198" s="588"/>
      <c r="AE198" s="588"/>
      <c r="AF198" s="588"/>
    </row>
    <row r="199" spans="1:37">
      <c r="B199" s="1133" t="s">
        <v>1254</v>
      </c>
      <c r="K199" s="1134"/>
      <c r="L199" s="1133" t="s">
        <v>1255</v>
      </c>
      <c r="O199" s="1134"/>
      <c r="S199" s="588"/>
      <c r="T199" s="588"/>
      <c r="U199" s="588"/>
      <c r="V199" s="588"/>
      <c r="W199" s="588"/>
      <c r="X199" s="588"/>
      <c r="AD199" s="588"/>
      <c r="AE199" s="588"/>
      <c r="AF199" s="588"/>
    </row>
    <row r="200" spans="1:37">
      <c r="B200" s="1133" t="s">
        <v>1256</v>
      </c>
      <c r="K200" s="1134"/>
      <c r="L200" s="1133" t="s">
        <v>1257</v>
      </c>
      <c r="O200" s="1134"/>
    </row>
    <row r="201" spans="1:37">
      <c r="B201" s="1133" t="s">
        <v>1258</v>
      </c>
      <c r="K201" s="1134"/>
      <c r="L201" s="1133" t="s">
        <v>1259</v>
      </c>
      <c r="O201" s="1134"/>
    </row>
    <row r="202" spans="1:37">
      <c r="B202" s="1133" t="s">
        <v>1260</v>
      </c>
      <c r="K202" s="1134"/>
      <c r="L202" s="1133" t="s">
        <v>1261</v>
      </c>
      <c r="O202" s="1134"/>
      <c r="R202" s="461"/>
    </row>
    <row r="203" spans="1:37">
      <c r="B203" s="1133" t="s">
        <v>1262</v>
      </c>
      <c r="K203" s="1134"/>
      <c r="L203" s="1133" t="s">
        <v>1263</v>
      </c>
      <c r="O203" s="1134"/>
      <c r="Q203" s="461"/>
      <c r="R203" s="588"/>
    </row>
    <row r="204" spans="1:37">
      <c r="B204" s="1133" t="s">
        <v>1264</v>
      </c>
      <c r="K204" s="1134"/>
      <c r="L204" s="1133" t="s">
        <v>1265</v>
      </c>
      <c r="O204" s="1134"/>
      <c r="Q204" s="588"/>
      <c r="R204" s="588"/>
    </row>
    <row r="205" spans="1:37">
      <c r="B205" s="1133" t="s">
        <v>1266</v>
      </c>
      <c r="K205" s="1134"/>
      <c r="L205" s="1133" t="s">
        <v>1267</v>
      </c>
      <c r="O205" s="1134"/>
      <c r="Q205" s="588"/>
    </row>
    <row r="206" spans="1:37">
      <c r="B206" s="1135" t="s">
        <v>1268</v>
      </c>
      <c r="C206" s="1136"/>
      <c r="D206" s="1136"/>
      <c r="E206" s="1136"/>
      <c r="F206" s="1136"/>
      <c r="G206" s="1136"/>
      <c r="H206" s="1136"/>
      <c r="I206" s="1136"/>
      <c r="J206" s="1136"/>
      <c r="K206" s="1137"/>
      <c r="L206" s="1135"/>
      <c r="M206" s="1136"/>
      <c r="N206" s="1136"/>
      <c r="O206" s="1137"/>
    </row>
    <row r="207" spans="1:37">
      <c r="B207" s="461"/>
      <c r="C207" s="461"/>
      <c r="D207" s="461"/>
      <c r="E207" s="461"/>
      <c r="F207" s="461"/>
      <c r="M207" s="461"/>
      <c r="N207" s="461"/>
      <c r="O207" s="461"/>
    </row>
    <row r="208" spans="1:37">
      <c r="B208" s="588"/>
      <c r="C208" s="588"/>
      <c r="D208" s="588"/>
      <c r="E208" s="588"/>
      <c r="F208" s="588"/>
      <c r="M208" s="588"/>
      <c r="N208" s="588"/>
      <c r="O208" s="588"/>
    </row>
    <row r="209" spans="1:37">
      <c r="B209" s="588"/>
      <c r="C209" s="588"/>
      <c r="D209" s="588"/>
      <c r="E209" s="588"/>
      <c r="F209" s="588"/>
      <c r="M209" s="588"/>
      <c r="N209" s="588"/>
      <c r="O209" s="588"/>
    </row>
    <row r="211" spans="1:37">
      <c r="Y211" s="461"/>
      <c r="Z211" s="461"/>
      <c r="AA211" s="461"/>
      <c r="AB211" s="461"/>
      <c r="AC211" s="461"/>
      <c r="AG211" s="461"/>
      <c r="AH211" s="461"/>
      <c r="AI211" s="461"/>
      <c r="AJ211" s="461"/>
      <c r="AK211" s="461"/>
    </row>
    <row r="212" spans="1:37">
      <c r="A212" s="136"/>
      <c r="Y212" s="588"/>
      <c r="Z212" s="588"/>
      <c r="AA212" s="588"/>
      <c r="AB212" s="588"/>
      <c r="AC212" s="588"/>
      <c r="AG212" s="588"/>
      <c r="AH212" s="588"/>
      <c r="AI212" s="588"/>
      <c r="AJ212" s="588"/>
      <c r="AK212" s="588"/>
    </row>
    <row r="213" spans="1:37">
      <c r="A213" s="136"/>
      <c r="Y213" s="588"/>
      <c r="Z213" s="588"/>
      <c r="AA213" s="588"/>
      <c r="AB213" s="588"/>
      <c r="AC213" s="588"/>
      <c r="AG213" s="588"/>
      <c r="AH213" s="588"/>
      <c r="AI213" s="588"/>
      <c r="AJ213" s="588"/>
      <c r="AK213" s="588"/>
    </row>
    <row r="214" spans="1:37">
      <c r="P214" s="461"/>
    </row>
    <row r="215" spans="1:37">
      <c r="P215" s="588"/>
    </row>
    <row r="216" spans="1:37">
      <c r="P216" s="588"/>
    </row>
  </sheetData>
  <sheetProtection algorithmName="SHA-512" hashValue="36xO6sC2WfzyiCvPBkw4G5Hy0pAg0v56/Yp47PC6xBpDf9wzc/hEOqnSu8ISv5qAuRYqlushUmMifu5F2aYlqQ==" saltValue="26wml8Cyr1E+Fx8gASicMQ==" spinCount="100000" sheet="1" objects="1" scenarios="1"/>
  <mergeCells count="518">
    <mergeCell ref="A189:A191"/>
    <mergeCell ref="AJ161:AK161"/>
    <mergeCell ref="BN2:BO2"/>
    <mergeCell ref="BO3:BO5"/>
    <mergeCell ref="B36:B37"/>
    <mergeCell ref="D36:E36"/>
    <mergeCell ref="F36:H36"/>
    <mergeCell ref="N36:N37"/>
    <mergeCell ref="O36:O37"/>
    <mergeCell ref="Q36:Q37"/>
    <mergeCell ref="D37:E37"/>
    <mergeCell ref="F37:H37"/>
    <mergeCell ref="B185:C185"/>
    <mergeCell ref="D185:K185"/>
    <mergeCell ref="G173:G174"/>
    <mergeCell ref="I173:I174"/>
    <mergeCell ref="D177:K177"/>
    <mergeCell ref="B184:C184"/>
    <mergeCell ref="D184:K184"/>
    <mergeCell ref="S36:S37"/>
    <mergeCell ref="F56:K56"/>
    <mergeCell ref="D169:E170"/>
    <mergeCell ref="D171:E172"/>
    <mergeCell ref="N165:N166"/>
    <mergeCell ref="B193:C193"/>
    <mergeCell ref="D193:K193"/>
    <mergeCell ref="M187:M188"/>
    <mergeCell ref="N187:N188"/>
    <mergeCell ref="O187:O188"/>
    <mergeCell ref="B188:C188"/>
    <mergeCell ref="D188:K188"/>
    <mergeCell ref="B187:C187"/>
    <mergeCell ref="D187:K187"/>
    <mergeCell ref="M189:M191"/>
    <mergeCell ref="B190:C190"/>
    <mergeCell ref="D190:K190"/>
    <mergeCell ref="B191:C191"/>
    <mergeCell ref="D191:K191"/>
    <mergeCell ref="B192:C192"/>
    <mergeCell ref="D192:K192"/>
    <mergeCell ref="B189:C189"/>
    <mergeCell ref="O189:O191"/>
    <mergeCell ref="N189:N191"/>
    <mergeCell ref="D189:K189"/>
    <mergeCell ref="D163:M163"/>
    <mergeCell ref="N163:N164"/>
    <mergeCell ref="O163:O164"/>
    <mergeCell ref="O167:O186"/>
    <mergeCell ref="M185:M186"/>
    <mergeCell ref="M178:M184"/>
    <mergeCell ref="M167:M177"/>
    <mergeCell ref="N167:N186"/>
    <mergeCell ref="D183:K183"/>
    <mergeCell ref="J173:J174"/>
    <mergeCell ref="K169:K174"/>
    <mergeCell ref="L167:L174"/>
    <mergeCell ref="O165:O166"/>
    <mergeCell ref="D165:K166"/>
    <mergeCell ref="L165:L166"/>
    <mergeCell ref="M165:M166"/>
    <mergeCell ref="L178:L180"/>
    <mergeCell ref="D173:E174"/>
    <mergeCell ref="AG157:AH161"/>
    <mergeCell ref="Q151:AK151"/>
    <mergeCell ref="Q154:R155"/>
    <mergeCell ref="T154:T156"/>
    <mergeCell ref="U154:U156"/>
    <mergeCell ref="V154:AF154"/>
    <mergeCell ref="AG154:AH155"/>
    <mergeCell ref="AI154:AK154"/>
    <mergeCell ref="V155:V156"/>
    <mergeCell ref="W155:W156"/>
    <mergeCell ref="X155:X156"/>
    <mergeCell ref="Y155:AD155"/>
    <mergeCell ref="AE155:AE156"/>
    <mergeCell ref="AF155:AF156"/>
    <mergeCell ref="AI155:AI156"/>
    <mergeCell ref="AJ155:AJ156"/>
    <mergeCell ref="AK155:AK156"/>
    <mergeCell ref="Z156:AC156"/>
    <mergeCell ref="AD156:AD161"/>
    <mergeCell ref="AJ157:AK157"/>
    <mergeCell ref="AJ158:AK158"/>
    <mergeCell ref="AJ159:AK159"/>
    <mergeCell ref="AJ160:AK160"/>
    <mergeCell ref="U157:U161"/>
    <mergeCell ref="A149:A152"/>
    <mergeCell ref="B150:B152"/>
    <mergeCell ref="I150:I152"/>
    <mergeCell ref="C151:C152"/>
    <mergeCell ref="D151:D152"/>
    <mergeCell ref="E151:E152"/>
    <mergeCell ref="B146:C146"/>
    <mergeCell ref="D146:E146"/>
    <mergeCell ref="F146:H146"/>
    <mergeCell ref="B149:H149"/>
    <mergeCell ref="C150:E150"/>
    <mergeCell ref="F150:H150"/>
    <mergeCell ref="F151:G151"/>
    <mergeCell ref="H151:H152"/>
    <mergeCell ref="F144:H144"/>
    <mergeCell ref="F137:H137"/>
    <mergeCell ref="B138:C138"/>
    <mergeCell ref="D138:E138"/>
    <mergeCell ref="B139:C139"/>
    <mergeCell ref="B145:C145"/>
    <mergeCell ref="Z157:AC161"/>
    <mergeCell ref="N146:O146"/>
    <mergeCell ref="Q157:Q161"/>
    <mergeCell ref="R157:R161"/>
    <mergeCell ref="T157:T161"/>
    <mergeCell ref="D139:E139"/>
    <mergeCell ref="F139:H139"/>
    <mergeCell ref="F128:H128"/>
    <mergeCell ref="D129:E129"/>
    <mergeCell ref="F129:H129"/>
    <mergeCell ref="F145:H145"/>
    <mergeCell ref="D145:E145"/>
    <mergeCell ref="A136:A145"/>
    <mergeCell ref="B136:C136"/>
    <mergeCell ref="D136:E136"/>
    <mergeCell ref="F136:H136"/>
    <mergeCell ref="B140:C140"/>
    <mergeCell ref="D140:E140"/>
    <mergeCell ref="F140:H140"/>
    <mergeCell ref="B141:C141"/>
    <mergeCell ref="D141:E141"/>
    <mergeCell ref="F141:H141"/>
    <mergeCell ref="B142:C142"/>
    <mergeCell ref="D142:E142"/>
    <mergeCell ref="F142:H142"/>
    <mergeCell ref="B143:C143"/>
    <mergeCell ref="D143:E143"/>
    <mergeCell ref="F143:H143"/>
    <mergeCell ref="F133:H133"/>
    <mergeCell ref="B144:C144"/>
    <mergeCell ref="D144:E144"/>
    <mergeCell ref="D106:E106"/>
    <mergeCell ref="F106:H106"/>
    <mergeCell ref="D107:E107"/>
    <mergeCell ref="F107:H107"/>
    <mergeCell ref="D108:E108"/>
    <mergeCell ref="F108:H108"/>
    <mergeCell ref="D109:E109"/>
    <mergeCell ref="F109:H109"/>
    <mergeCell ref="N136:O145"/>
    <mergeCell ref="F138:H138"/>
    <mergeCell ref="N130:O132"/>
    <mergeCell ref="D131:E131"/>
    <mergeCell ref="F131:H131"/>
    <mergeCell ref="D132:E132"/>
    <mergeCell ref="F132:H132"/>
    <mergeCell ref="N125:O129"/>
    <mergeCell ref="D126:E126"/>
    <mergeCell ref="F126:H126"/>
    <mergeCell ref="D127:E127"/>
    <mergeCell ref="D137:E137"/>
    <mergeCell ref="D134:E134"/>
    <mergeCell ref="F134:H134"/>
    <mergeCell ref="D135:E135"/>
    <mergeCell ref="F135:H135"/>
    <mergeCell ref="L88:M89"/>
    <mergeCell ref="D87:M87"/>
    <mergeCell ref="D91:E91"/>
    <mergeCell ref="F91:H91"/>
    <mergeCell ref="D92:E92"/>
    <mergeCell ref="F92:H92"/>
    <mergeCell ref="D93:E93"/>
    <mergeCell ref="F93:H93"/>
    <mergeCell ref="F96:H96"/>
    <mergeCell ref="D39:D41"/>
    <mergeCell ref="B38:C41"/>
    <mergeCell ref="F38:K38"/>
    <mergeCell ref="F42:K42"/>
    <mergeCell ref="A88:C89"/>
    <mergeCell ref="A81:A86"/>
    <mergeCell ref="B81:C81"/>
    <mergeCell ref="D81:E81"/>
    <mergeCell ref="F81:H81"/>
    <mergeCell ref="B82:C86"/>
    <mergeCell ref="D82:E82"/>
    <mergeCell ref="F82:H82"/>
    <mergeCell ref="B75:C75"/>
    <mergeCell ref="A79:A80"/>
    <mergeCell ref="B79:C79"/>
    <mergeCell ref="B77:C78"/>
    <mergeCell ref="D77:D78"/>
    <mergeCell ref="F79:H79"/>
    <mergeCell ref="A77:A78"/>
    <mergeCell ref="D83:E83"/>
    <mergeCell ref="F83:H83"/>
    <mergeCell ref="D84:E84"/>
    <mergeCell ref="F84:H84"/>
    <mergeCell ref="D71:E71"/>
    <mergeCell ref="J1:O1"/>
    <mergeCell ref="AP1:AQ1"/>
    <mergeCell ref="B3:C3"/>
    <mergeCell ref="A11:A12"/>
    <mergeCell ref="B11:C11"/>
    <mergeCell ref="D11:M11"/>
    <mergeCell ref="N11:N12"/>
    <mergeCell ref="A13:A16"/>
    <mergeCell ref="B13:B16"/>
    <mergeCell ref="C13:C16"/>
    <mergeCell ref="D13:D14"/>
    <mergeCell ref="D15:D16"/>
    <mergeCell ref="O8:O10"/>
    <mergeCell ref="A6:A7"/>
    <mergeCell ref="N6:N7"/>
    <mergeCell ref="B7:C7"/>
    <mergeCell ref="B6:C6"/>
    <mergeCell ref="D6:M6"/>
    <mergeCell ref="A8:A9"/>
    <mergeCell ref="B8:C9"/>
    <mergeCell ref="B10:C10"/>
    <mergeCell ref="D10:E10"/>
    <mergeCell ref="D3:J3"/>
    <mergeCell ref="K3:L3"/>
    <mergeCell ref="AU1:BV1"/>
    <mergeCell ref="AU2:AY2"/>
    <mergeCell ref="AZ2:BA2"/>
    <mergeCell ref="BB2:BC2"/>
    <mergeCell ref="BD2:BE2"/>
    <mergeCell ref="BF2:BG2"/>
    <mergeCell ref="BH2:BI2"/>
    <mergeCell ref="BL2:BM2"/>
    <mergeCell ref="BP2:BQ2"/>
    <mergeCell ref="BT2:BV2"/>
    <mergeCell ref="BJ2:BK2"/>
    <mergeCell ref="BR2:BS2"/>
    <mergeCell ref="BS3:BS5"/>
    <mergeCell ref="F51:H51"/>
    <mergeCell ref="BI3:BI5"/>
    <mergeCell ref="BM3:BM5"/>
    <mergeCell ref="N18:N19"/>
    <mergeCell ref="O13:O16"/>
    <mergeCell ref="AK29:AK30"/>
    <mergeCell ref="F30:H30"/>
    <mergeCell ref="BQ3:BQ5"/>
    <mergeCell ref="BA3:BA5"/>
    <mergeCell ref="BC3:BC5"/>
    <mergeCell ref="BE3:BE5"/>
    <mergeCell ref="BG3:BG5"/>
    <mergeCell ref="AG28:AH29"/>
    <mergeCell ref="AI28:AK28"/>
    <mergeCell ref="O20:O23"/>
    <mergeCell ref="T28:T30"/>
    <mergeCell ref="BK3:BK5"/>
    <mergeCell ref="S34:S35"/>
    <mergeCell ref="V29:V30"/>
    <mergeCell ref="W29:W30"/>
    <mergeCell ref="X29:X30"/>
    <mergeCell ref="S28:S30"/>
    <mergeCell ref="Y29:AD29"/>
    <mergeCell ref="A18:A19"/>
    <mergeCell ref="A29:A30"/>
    <mergeCell ref="B29:C30"/>
    <mergeCell ref="D29:E30"/>
    <mergeCell ref="B33:C33"/>
    <mergeCell ref="D33:E33"/>
    <mergeCell ref="B18:C18"/>
    <mergeCell ref="D22:D23"/>
    <mergeCell ref="B24:C24"/>
    <mergeCell ref="D24:E24"/>
    <mergeCell ref="B25:C25"/>
    <mergeCell ref="D25:E25"/>
    <mergeCell ref="A28:C28"/>
    <mergeCell ref="D28:M28"/>
    <mergeCell ref="D18:M18"/>
    <mergeCell ref="B32:C32"/>
    <mergeCell ref="D32:E32"/>
    <mergeCell ref="B31:C31"/>
    <mergeCell ref="D31:E31"/>
    <mergeCell ref="A20:A23"/>
    <mergeCell ref="B20:B23"/>
    <mergeCell ref="C20:C23"/>
    <mergeCell ref="D20:D21"/>
    <mergeCell ref="F29:K29"/>
    <mergeCell ref="AF29:AF30"/>
    <mergeCell ref="Q28:R29"/>
    <mergeCell ref="U28:U30"/>
    <mergeCell ref="V28:AF28"/>
    <mergeCell ref="N28:O28"/>
    <mergeCell ref="AJ29:AJ30"/>
    <mergeCell ref="AI29:AI30"/>
    <mergeCell ref="N34:N35"/>
    <mergeCell ref="B17:C17"/>
    <mergeCell ref="D17:E17"/>
    <mergeCell ref="O34:O35"/>
    <mergeCell ref="Q34:Q35"/>
    <mergeCell ref="N29:N30"/>
    <mergeCell ref="O29:O30"/>
    <mergeCell ref="F31:H31"/>
    <mergeCell ref="L29:M29"/>
    <mergeCell ref="F32:K32"/>
    <mergeCell ref="F33:K33"/>
    <mergeCell ref="AE29:AE30"/>
    <mergeCell ref="B34:B35"/>
    <mergeCell ref="D34:E34"/>
    <mergeCell ref="F34:H34"/>
    <mergeCell ref="D35:E35"/>
    <mergeCell ref="F35:H35"/>
    <mergeCell ref="R34:R37"/>
    <mergeCell ref="F72:H72"/>
    <mergeCell ref="F68:H68"/>
    <mergeCell ref="D52:E52"/>
    <mergeCell ref="D59:E59"/>
    <mergeCell ref="F59:H59"/>
    <mergeCell ref="F48:H48"/>
    <mergeCell ref="F45:H45"/>
    <mergeCell ref="D67:E67"/>
    <mergeCell ref="F67:H67"/>
    <mergeCell ref="D68:E68"/>
    <mergeCell ref="F58:K58"/>
    <mergeCell ref="F61:I61"/>
    <mergeCell ref="F62:I62"/>
    <mergeCell ref="F54:K54"/>
    <mergeCell ref="F50:H50"/>
    <mergeCell ref="F47:H47"/>
    <mergeCell ref="F49:H49"/>
    <mergeCell ref="D42:E42"/>
    <mergeCell ref="D43:D50"/>
    <mergeCell ref="F43:H43"/>
    <mergeCell ref="F41:H41"/>
    <mergeCell ref="D38:E38"/>
    <mergeCell ref="F40:H40"/>
    <mergeCell ref="O42:O50"/>
    <mergeCell ref="N60:N63"/>
    <mergeCell ref="F55:K55"/>
    <mergeCell ref="C66:C69"/>
    <mergeCell ref="C70:C73"/>
    <mergeCell ref="D64:E64"/>
    <mergeCell ref="D65:E65"/>
    <mergeCell ref="D66:E66"/>
    <mergeCell ref="D69:E69"/>
    <mergeCell ref="D70:E70"/>
    <mergeCell ref="D53:E53"/>
    <mergeCell ref="D58:E58"/>
    <mergeCell ref="D55:E55"/>
    <mergeCell ref="E62:E63"/>
    <mergeCell ref="B58:C58"/>
    <mergeCell ref="B55:C55"/>
    <mergeCell ref="B54:C54"/>
    <mergeCell ref="D54:E54"/>
    <mergeCell ref="D72:E72"/>
    <mergeCell ref="B42:C50"/>
    <mergeCell ref="B56:C56"/>
    <mergeCell ref="D56:E56"/>
    <mergeCell ref="B57:C57"/>
    <mergeCell ref="F53:H53"/>
    <mergeCell ref="A167:A186"/>
    <mergeCell ref="B167:C174"/>
    <mergeCell ref="H169:H174"/>
    <mergeCell ref="B181:C181"/>
    <mergeCell ref="D181:K181"/>
    <mergeCell ref="B182:C182"/>
    <mergeCell ref="D182:K182"/>
    <mergeCell ref="B164:C164"/>
    <mergeCell ref="D164:K164"/>
    <mergeCell ref="B186:C186"/>
    <mergeCell ref="D186:K186"/>
    <mergeCell ref="B183:C183"/>
    <mergeCell ref="B175:B180"/>
    <mergeCell ref="D178:K178"/>
    <mergeCell ref="G179:H179"/>
    <mergeCell ref="I179:I180"/>
    <mergeCell ref="J179:K179"/>
    <mergeCell ref="G180:H180"/>
    <mergeCell ref="J180:K180"/>
    <mergeCell ref="C178:C180"/>
    <mergeCell ref="A165:A166"/>
    <mergeCell ref="B165:C166"/>
    <mergeCell ref="D175:K175"/>
    <mergeCell ref="D176:K176"/>
    <mergeCell ref="F116:H116"/>
    <mergeCell ref="F127:H127"/>
    <mergeCell ref="B137:C137"/>
    <mergeCell ref="A125:C129"/>
    <mergeCell ref="D123:E123"/>
    <mergeCell ref="D121:E121"/>
    <mergeCell ref="F121:H121"/>
    <mergeCell ref="A130:C132"/>
    <mergeCell ref="A133:C135"/>
    <mergeCell ref="D133:E133"/>
    <mergeCell ref="D117:E117"/>
    <mergeCell ref="F117:H117"/>
    <mergeCell ref="D118:E118"/>
    <mergeCell ref="F118:H118"/>
    <mergeCell ref="F122:H122"/>
    <mergeCell ref="D124:E124"/>
    <mergeCell ref="F124:H124"/>
    <mergeCell ref="D116:E116"/>
    <mergeCell ref="F123:H123"/>
    <mergeCell ref="D120:E120"/>
    <mergeCell ref="F120:H120"/>
    <mergeCell ref="D130:E130"/>
    <mergeCell ref="F130:H130"/>
    <mergeCell ref="D128:E128"/>
    <mergeCell ref="R77:R78"/>
    <mergeCell ref="O77:O78"/>
    <mergeCell ref="F111:H111"/>
    <mergeCell ref="D112:E112"/>
    <mergeCell ref="D99:E99"/>
    <mergeCell ref="F99:H99"/>
    <mergeCell ref="N87:O89"/>
    <mergeCell ref="D88:E89"/>
    <mergeCell ref="F89:H89"/>
    <mergeCell ref="D97:E97"/>
    <mergeCell ref="F97:H97"/>
    <mergeCell ref="D98:E98"/>
    <mergeCell ref="D94:E94"/>
    <mergeCell ref="F94:H94"/>
    <mergeCell ref="D95:E95"/>
    <mergeCell ref="F95:H95"/>
    <mergeCell ref="D96:E96"/>
    <mergeCell ref="D85:E85"/>
    <mergeCell ref="F85:H85"/>
    <mergeCell ref="D86:E86"/>
    <mergeCell ref="F86:H86"/>
    <mergeCell ref="D90:E90"/>
    <mergeCell ref="F90:H90"/>
    <mergeCell ref="F88:K88"/>
    <mergeCell ref="F60:I60"/>
    <mergeCell ref="D119:E119"/>
    <mergeCell ref="F119:H119"/>
    <mergeCell ref="D125:E125"/>
    <mergeCell ref="F125:H125"/>
    <mergeCell ref="D115:E115"/>
    <mergeCell ref="F115:H115"/>
    <mergeCell ref="D122:E122"/>
    <mergeCell ref="F71:H71"/>
    <mergeCell ref="D105:E105"/>
    <mergeCell ref="F105:H105"/>
    <mergeCell ref="D100:E100"/>
    <mergeCell ref="F100:H100"/>
    <mergeCell ref="D101:E101"/>
    <mergeCell ref="F101:H101"/>
    <mergeCell ref="D102:E102"/>
    <mergeCell ref="F102:H102"/>
    <mergeCell ref="D104:E104"/>
    <mergeCell ref="F104:H104"/>
    <mergeCell ref="D103:E103"/>
    <mergeCell ref="F103:H103"/>
    <mergeCell ref="D114:E114"/>
    <mergeCell ref="E60:E61"/>
    <mergeCell ref="F114:H114"/>
    <mergeCell ref="D57:E57"/>
    <mergeCell ref="B74:C74"/>
    <mergeCell ref="D74:E74"/>
    <mergeCell ref="S77:S78"/>
    <mergeCell ref="F78:H78"/>
    <mergeCell ref="F44:H44"/>
    <mergeCell ref="F46:H46"/>
    <mergeCell ref="Q77:Q78"/>
    <mergeCell ref="Q60:Q63"/>
    <mergeCell ref="R60:R63"/>
    <mergeCell ref="S60:S63"/>
    <mergeCell ref="N64:N73"/>
    <mergeCell ref="O64:O73"/>
    <mergeCell ref="Q64:Q73"/>
    <mergeCell ref="R64:R73"/>
    <mergeCell ref="S64:S73"/>
    <mergeCell ref="F69:H69"/>
    <mergeCell ref="F65:H65"/>
    <mergeCell ref="S52:S53"/>
    <mergeCell ref="F70:H70"/>
    <mergeCell ref="O52:O53"/>
    <mergeCell ref="F52:H52"/>
    <mergeCell ref="F64:H64"/>
    <mergeCell ref="N77:N78"/>
    <mergeCell ref="B59:C59"/>
    <mergeCell ref="N133:O135"/>
    <mergeCell ref="O60:O63"/>
    <mergeCell ref="A90:A104"/>
    <mergeCell ref="B90:C97"/>
    <mergeCell ref="B98:C104"/>
    <mergeCell ref="N90:O97"/>
    <mergeCell ref="N98:O104"/>
    <mergeCell ref="B60:C63"/>
    <mergeCell ref="D60:D63"/>
    <mergeCell ref="B64:B73"/>
    <mergeCell ref="C64:C65"/>
    <mergeCell ref="A105:C114"/>
    <mergeCell ref="N115:O124"/>
    <mergeCell ref="N105:O114"/>
    <mergeCell ref="D110:E110"/>
    <mergeCell ref="F110:H110"/>
    <mergeCell ref="D111:E111"/>
    <mergeCell ref="A115:C124"/>
    <mergeCell ref="F112:H112"/>
    <mergeCell ref="D113:E113"/>
    <mergeCell ref="F113:H113"/>
    <mergeCell ref="D75:E75"/>
    <mergeCell ref="F76:H76"/>
    <mergeCell ref="F57:K57"/>
    <mergeCell ref="D167:E168"/>
    <mergeCell ref="A31:A51"/>
    <mergeCell ref="F39:K39"/>
    <mergeCell ref="O38:O41"/>
    <mergeCell ref="N82:O86"/>
    <mergeCell ref="F98:H98"/>
    <mergeCell ref="F74:H74"/>
    <mergeCell ref="D73:E73"/>
    <mergeCell ref="F73:H73"/>
    <mergeCell ref="F66:H66"/>
    <mergeCell ref="F63:I63"/>
    <mergeCell ref="D80:E80"/>
    <mergeCell ref="F80:H80"/>
    <mergeCell ref="B76:C76"/>
    <mergeCell ref="D76:E76"/>
    <mergeCell ref="B80:C80"/>
    <mergeCell ref="F75:K75"/>
    <mergeCell ref="F77:K77"/>
    <mergeCell ref="D79:E79"/>
    <mergeCell ref="A87:C87"/>
    <mergeCell ref="B51:C51"/>
    <mergeCell ref="D51:E51"/>
    <mergeCell ref="B52:B53"/>
  </mergeCells>
  <phoneticPr fontId="1"/>
  <conditionalFormatting sqref="A28:O31 B32:O37 B38 D38:O38 E40:N41 B42:O51 A148:G148 I148:O160 A149:B149 A150:C150 F150 A151:E151 A152:G160 A161:O166 A167:D167 F167:O174 A168:C168 A169:D169 A170:C170 A171:D171 A172:C172 A173:D173 A174:C174 A175:O193">
    <cfRule type="containsText" dxfId="23" priority="156" operator="containsText" text="エラー">
      <formula>NOT(ISERROR(SEARCH("エラー",A28)))</formula>
    </cfRule>
  </conditionalFormatting>
  <conditionalFormatting sqref="A52:O56 A58:O147">
    <cfRule type="containsText" dxfId="22" priority="5" operator="containsText" text="エラー">
      <formula>NOT(ISERROR(SEARCH("エラー",A52)))</formula>
    </cfRule>
  </conditionalFormatting>
  <conditionalFormatting sqref="B57 D57 F57 L57:O57">
    <cfRule type="containsText" dxfId="21" priority="2" operator="containsText" text="エラー">
      <formula>NOT(ISERROR(SEARCH("エラー",B57)))</formula>
    </cfRule>
  </conditionalFormatting>
  <conditionalFormatting sqref="D39:N39">
    <cfRule type="containsText" dxfId="20" priority="8" operator="containsText" text="エラー">
      <formula>NOT(ISERROR(SEARCH("エラー",D39)))</formula>
    </cfRule>
  </conditionalFormatting>
  <conditionalFormatting sqref="F31 F34:H37 F40:H41 F43:H53 K48:K49 F59 K64:K73 F64:H74 F76 F78:H86 K81 K90:K146">
    <cfRule type="expression" dxfId="19" priority="159">
      <formula>IFERROR(NOT($W31),TRUE)</formula>
    </cfRule>
  </conditionalFormatting>
  <conditionalFormatting sqref="H151">
    <cfRule type="containsText" dxfId="18" priority="18" operator="containsText" text="エラー">
      <formula>NOT(ISERROR(SEARCH("エラー",H151)))</formula>
    </cfRule>
  </conditionalFormatting>
  <conditionalFormatting sqref="H153:H160">
    <cfRule type="containsText" dxfId="17" priority="17" operator="containsText" text="エラー">
      <formula>NOT(ISERROR(SEARCH("エラー",H153)))</formula>
    </cfRule>
  </conditionalFormatting>
  <conditionalFormatting sqref="J31 J34:J37 J40:J41 J43:J53 J59 J64:J74 J76 J78:J86 J90:J146">
    <cfRule type="expression" dxfId="16" priority="158">
      <formula>AND($J31&lt;&gt;"",$J31&lt;&gt;"○")</formula>
    </cfRule>
  </conditionalFormatting>
  <conditionalFormatting sqref="L31:L38 L40:L55 L90:L146">
    <cfRule type="containsText" dxfId="15" priority="157" operator="containsText" text="調整">
      <formula>NOT(ISERROR(SEARCH("調整",L31)))</formula>
    </cfRule>
  </conditionalFormatting>
  <conditionalFormatting sqref="L39">
    <cfRule type="containsText" dxfId="14" priority="9" operator="containsText" text="調整">
      <formula>NOT(ISERROR(SEARCH("調整",L39)))</formula>
    </cfRule>
  </conditionalFormatting>
  <conditionalFormatting sqref="L56 L58:L86">
    <cfRule type="containsText" dxfId="13" priority="6" operator="containsText" text="調整">
      <formula>NOT(ISERROR(SEARCH("調整",L56)))</formula>
    </cfRule>
  </conditionalFormatting>
  <conditionalFormatting sqref="L57">
    <cfRule type="containsText" dxfId="12" priority="3" operator="containsText" text="調整">
      <formula>NOT(ISERROR(SEARCH("調整",L57)))</formula>
    </cfRule>
  </conditionalFormatting>
  <conditionalFormatting sqref="M31:M86 O42:O81">
    <cfRule type="containsText" dxfId="11" priority="4" operator="containsText" text="×">
      <formula>NOT(ISERROR(SEARCH("×",M31)))</formula>
    </cfRule>
  </conditionalFormatting>
  <conditionalFormatting sqref="O31:O38 N82 M90:O146">
    <cfRule type="containsText" dxfId="10" priority="161" operator="containsText" text="×">
      <formula>NOT(ISERROR(SEARCH("×",M31)))</formula>
    </cfRule>
  </conditionalFormatting>
  <conditionalFormatting sqref="O165:O193">
    <cfRule type="cellIs" dxfId="9" priority="162" operator="lessThan">
      <formula>0</formula>
    </cfRule>
  </conditionalFormatting>
  <dataValidations disablePrompts="1" count="2">
    <dataValidation type="list" allowBlank="1" showInputMessage="1" showErrorMessage="1" sqref="F31:H31 F34:H37 F51:H53 F59:H59 F64:H74 F90:F145 F79:H86 F76:H76 F43:H49 F40:H40" xr:uid="{00000000-0002-0000-1000-000000000000}">
      <formula1>INDIRECT($T31)</formula1>
    </dataValidation>
    <dataValidation type="decimal" allowBlank="1" showInputMessage="1" showErrorMessage="1" sqref="K90:K146 K48:K49 K82:K86" xr:uid="{00000000-0002-0000-1000-000001000000}">
      <formula1>0</formula1>
      <formula2>$U48</formula2>
    </dataValidation>
  </dataValidations>
  <printOptions horizontalCentered="1"/>
  <pageMargins left="0.51181102362204722" right="0.31496062992125984" top="0.74803149606299213" bottom="0.74803149606299213" header="0.31496062992125984" footer="0.31496062992125984"/>
  <pageSetup paperSize="9" scale="59" orientation="portrait" r:id="rId1"/>
  <rowBreaks count="3" manualBreakCount="3">
    <brk id="86" max="14" man="1"/>
    <brk id="147" max="14" man="1"/>
    <brk id="217"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tabColor rgb="FFFF0000"/>
    <pageSetUpPr fitToPage="1"/>
  </sheetPr>
  <dimension ref="A1:BC65"/>
  <sheetViews>
    <sheetView view="pageBreakPreview" topLeftCell="A10" zoomScale="90" zoomScaleNormal="85" zoomScaleSheetLayoutView="90" workbookViewId="0">
      <selection activeCell="D16" sqref="D16"/>
    </sheetView>
  </sheetViews>
  <sheetFormatPr defaultColWidth="9" defaultRowHeight="12" outlineLevelCol="1"/>
  <cols>
    <col min="1" max="39" width="5.625" style="73" customWidth="1"/>
    <col min="40" max="40" width="50.625" style="73" customWidth="1"/>
    <col min="41" max="41" width="19.625" style="73" hidden="1" customWidth="1" outlineLevel="1"/>
    <col min="42" max="43" width="8.5" style="73" hidden="1" customWidth="1" outlineLevel="1"/>
    <col min="44" max="44" width="5.625" style="73" hidden="1" customWidth="1" outlineLevel="1"/>
    <col min="45" max="46" width="7.5" style="73" hidden="1" customWidth="1" outlineLevel="1"/>
    <col min="47" max="48" width="5.625" style="73" hidden="1" customWidth="1" outlineLevel="1"/>
    <col min="49" max="49" width="15.5" style="73" hidden="1" customWidth="1" outlineLevel="1"/>
    <col min="50" max="50" width="9.25" style="73" hidden="1" customWidth="1" outlineLevel="1"/>
    <col min="51" max="51" width="5.625" style="73" hidden="1" customWidth="1" outlineLevel="1"/>
    <col min="52" max="52" width="9.25" style="73" hidden="1" customWidth="1" outlineLevel="1"/>
    <col min="53" max="53" width="5.25" style="73" hidden="1" customWidth="1" outlineLevel="1"/>
    <col min="54" max="54" width="10.125" style="73" hidden="1" customWidth="1" outlineLevel="1"/>
    <col min="55" max="55" width="9" style="73" collapsed="1"/>
    <col min="56" max="16384" width="9" style="73"/>
  </cols>
  <sheetData>
    <row r="1" spans="1:54" ht="20.25" customHeight="1">
      <c r="A1" s="1083"/>
      <c r="B1" s="1083"/>
      <c r="C1" s="1083"/>
      <c r="D1" s="1083"/>
      <c r="E1" s="1083"/>
      <c r="F1" s="1083"/>
      <c r="G1" s="1083"/>
      <c r="H1" s="1083"/>
      <c r="I1" s="1083"/>
      <c r="J1" s="1083"/>
      <c r="K1" s="1083"/>
      <c r="L1" s="1083"/>
      <c r="M1" s="1083"/>
      <c r="N1" s="1083"/>
      <c r="O1" s="1083"/>
      <c r="P1" s="1083"/>
      <c r="Q1" s="1083"/>
      <c r="R1" s="1083"/>
      <c r="S1" s="1083"/>
      <c r="T1" s="1083"/>
      <c r="U1" s="1083"/>
      <c r="V1" s="1083"/>
      <c r="W1" s="1083"/>
      <c r="X1" s="1083"/>
      <c r="Y1" s="1083"/>
      <c r="Z1" s="1083"/>
      <c r="AA1" s="1083"/>
      <c r="AB1" s="1083"/>
      <c r="AC1" s="1083"/>
      <c r="AD1" s="1083"/>
      <c r="AE1" s="1083"/>
      <c r="AF1" s="1083"/>
      <c r="AG1" s="3199" t="str">
        <f>AO2&amp;"別紙6"&amp;AO3</f>
        <v>加-25_4月申-別紙6-認_Ver.4.02</v>
      </c>
      <c r="AH1" s="3199"/>
      <c r="AI1" s="3199"/>
      <c r="AJ1" s="3199"/>
      <c r="AK1" s="3199"/>
      <c r="AL1" s="3199"/>
      <c r="AM1" s="3199"/>
      <c r="AO1" s="264" t="s">
        <v>1163</v>
      </c>
      <c r="AP1" s="71" t="s">
        <v>126</v>
      </c>
      <c r="AQ1" s="71" t="s">
        <v>124</v>
      </c>
      <c r="AR1" s="103" t="s">
        <v>84</v>
      </c>
      <c r="AS1" s="69" t="s">
        <v>83</v>
      </c>
      <c r="AT1" s="69" t="s">
        <v>86</v>
      </c>
      <c r="AU1" s="69" t="s">
        <v>87</v>
      </c>
      <c r="AV1" s="69" t="s">
        <v>166</v>
      </c>
      <c r="AW1" s="69" t="s">
        <v>127</v>
      </c>
      <c r="AX1" s="71" t="s">
        <v>149</v>
      </c>
      <c r="AY1" s="69" t="s">
        <v>87</v>
      </c>
      <c r="AZ1" s="103" t="s">
        <v>630</v>
      </c>
      <c r="BA1" s="71" t="s">
        <v>595</v>
      </c>
      <c r="BB1" s="71" t="s">
        <v>628</v>
      </c>
    </row>
    <row r="2" spans="1:54" ht="20.25" customHeight="1">
      <c r="A2" s="1084" t="s">
        <v>447</v>
      </c>
      <c r="B2" s="1083"/>
      <c r="C2" s="1083"/>
      <c r="D2" s="1083"/>
      <c r="E2" s="1083"/>
      <c r="F2" s="1083"/>
      <c r="G2" s="1083"/>
      <c r="H2" s="1083"/>
      <c r="I2" s="1083"/>
      <c r="J2" s="1083"/>
      <c r="K2" s="1083"/>
      <c r="L2" s="1083"/>
      <c r="M2" s="1083"/>
      <c r="N2" s="1083"/>
      <c r="O2" s="1083"/>
      <c r="P2" s="1083"/>
      <c r="Q2" s="1083"/>
      <c r="R2" s="1083"/>
      <c r="S2" s="1083"/>
      <c r="T2" s="1083"/>
      <c r="U2" s="1083"/>
      <c r="V2" s="1083"/>
      <c r="W2" s="1083"/>
      <c r="X2" s="1083"/>
      <c r="Y2" s="1083"/>
      <c r="Z2" s="1083"/>
      <c r="AA2" s="1083"/>
      <c r="AB2" s="1083"/>
      <c r="AC2" s="1083"/>
      <c r="AD2" s="1083"/>
      <c r="AE2" s="1083"/>
      <c r="AF2" s="1083"/>
      <c r="AG2" s="3200" t="s">
        <v>153</v>
      </c>
      <c r="AH2" s="3200"/>
      <c r="AI2" s="3200"/>
      <c r="AJ2" s="3200"/>
      <c r="AK2" s="3200"/>
      <c r="AL2" s="3200"/>
      <c r="AM2" s="3200"/>
      <c r="AO2" s="264" t="str">
        <f>【様式１】総括表・個票!$AJ$2</f>
        <v>加-25_4月申-</v>
      </c>
      <c r="AP2" s="71"/>
      <c r="AQ2" s="71"/>
      <c r="AR2" s="103"/>
      <c r="AS2" s="69"/>
      <c r="AT2" s="1"/>
      <c r="AU2" s="69"/>
      <c r="AV2" s="69"/>
      <c r="AW2" s="71"/>
      <c r="AX2" s="71"/>
      <c r="AY2" s="71"/>
      <c r="AZ2" s="69"/>
      <c r="BA2" s="71"/>
      <c r="BB2" s="71"/>
    </row>
    <row r="3" spans="1:54" ht="20.25" customHeight="1">
      <c r="A3" s="1083"/>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1083"/>
      <c r="AA3" s="1083"/>
      <c r="AB3" s="1083"/>
      <c r="AC3" s="3204" t="s">
        <v>116</v>
      </c>
      <c r="AD3" s="3205"/>
      <c r="AE3" s="3205"/>
      <c r="AF3" s="3206"/>
      <c r="AG3" s="3204">
        <f>【様式１】総括表・個票!$D$10</f>
        <v>2025</v>
      </c>
      <c r="AH3" s="3205"/>
      <c r="AI3" s="3205"/>
      <c r="AJ3" s="1085" t="s">
        <v>11</v>
      </c>
      <c r="AK3" s="3205">
        <f>【様式１】総括表・個票!$I$10</f>
        <v>4</v>
      </c>
      <c r="AL3" s="3205"/>
      <c r="AM3" s="1086" t="s">
        <v>85</v>
      </c>
      <c r="AO3" s="264" t="str">
        <f>【様式１】総括表・個票!$AJ$3</f>
        <v>-認_Ver.4.02</v>
      </c>
      <c r="AP3" s="71">
        <v>2</v>
      </c>
      <c r="AQ3" s="71">
        <v>7</v>
      </c>
      <c r="AR3" s="103" t="s">
        <v>69</v>
      </c>
      <c r="AS3" s="69" t="s">
        <v>7</v>
      </c>
      <c r="AT3" s="2">
        <v>1</v>
      </c>
      <c r="AU3" s="69">
        <v>1</v>
      </c>
      <c r="AV3" s="69">
        <v>1</v>
      </c>
      <c r="AW3" s="69">
        <v>1</v>
      </c>
      <c r="AX3" s="71" t="s">
        <v>150</v>
      </c>
      <c r="AY3" s="71" t="s">
        <v>335</v>
      </c>
      <c r="AZ3" s="69" t="s">
        <v>1409</v>
      </c>
      <c r="BA3" s="71" t="s">
        <v>596</v>
      </c>
      <c r="BB3" s="71" t="s">
        <v>629</v>
      </c>
    </row>
    <row r="4" spans="1:54" ht="20.25" customHeight="1">
      <c r="A4" s="1083"/>
      <c r="B4" s="1083"/>
      <c r="C4" s="1083"/>
      <c r="D4" s="1083"/>
      <c r="E4" s="1083"/>
      <c r="F4" s="1083"/>
      <c r="G4" s="1083"/>
      <c r="H4" s="1083"/>
      <c r="I4" s="1083"/>
      <c r="J4" s="1083"/>
      <c r="K4" s="1083"/>
      <c r="L4" s="1083"/>
      <c r="M4" s="1083"/>
      <c r="N4" s="1083"/>
      <c r="O4" s="1083"/>
      <c r="P4" s="1083"/>
      <c r="Q4" s="1083"/>
      <c r="R4" s="1083"/>
      <c r="S4" s="1083"/>
      <c r="T4" s="1083"/>
      <c r="U4" s="1083"/>
      <c r="V4" s="1083"/>
      <c r="W4" s="1083"/>
      <c r="X4" s="1083"/>
      <c r="Y4" s="1083"/>
      <c r="Z4" s="1083"/>
      <c r="AA4" s="1083"/>
      <c r="AB4" s="1083"/>
      <c r="AC4" s="3201" t="s">
        <v>12</v>
      </c>
      <c r="AD4" s="3202"/>
      <c r="AE4" s="3202"/>
      <c r="AF4" s="3207"/>
      <c r="AG4" s="3201">
        <f>【様式１】総括表・個票!D12</f>
        <v>0</v>
      </c>
      <c r="AH4" s="3202"/>
      <c r="AI4" s="3202"/>
      <c r="AJ4" s="3202"/>
      <c r="AK4" s="3202"/>
      <c r="AL4" s="3202"/>
      <c r="AM4" s="3203"/>
      <c r="AP4" s="71">
        <v>3</v>
      </c>
      <c r="AQ4" s="71">
        <v>6</v>
      </c>
      <c r="AR4" s="65"/>
      <c r="AS4" s="69" t="s">
        <v>82</v>
      </c>
      <c r="AT4" s="2">
        <v>2</v>
      </c>
      <c r="AU4" s="69">
        <v>2</v>
      </c>
      <c r="AV4" s="69">
        <v>2</v>
      </c>
      <c r="AW4" s="69">
        <v>2</v>
      </c>
      <c r="AX4" s="76" t="s">
        <v>151</v>
      </c>
      <c r="AY4" s="71" t="s">
        <v>609</v>
      </c>
      <c r="AZ4" s="69" t="s">
        <v>1410</v>
      </c>
      <c r="BA4" s="71" t="s">
        <v>597</v>
      </c>
      <c r="BB4" s="71" t="s">
        <v>7</v>
      </c>
    </row>
    <row r="5" spans="1:54" ht="20.25" customHeight="1">
      <c r="A5" s="1083"/>
      <c r="B5" s="1083"/>
      <c r="C5" s="1083"/>
      <c r="D5" s="1083"/>
      <c r="E5" s="1083"/>
      <c r="F5" s="1083"/>
      <c r="G5" s="1083"/>
      <c r="H5" s="1083"/>
      <c r="I5" s="1083"/>
      <c r="J5" s="1083"/>
      <c r="K5" s="1083"/>
      <c r="L5" s="1083"/>
      <c r="M5" s="1083"/>
      <c r="N5" s="1083"/>
      <c r="O5" s="1083"/>
      <c r="P5" s="1083"/>
      <c r="Q5" s="1083"/>
      <c r="R5" s="1083"/>
      <c r="S5" s="1083"/>
      <c r="T5" s="1083"/>
      <c r="U5" s="1083"/>
      <c r="V5" s="1083"/>
      <c r="W5" s="1083"/>
      <c r="X5" s="1083"/>
      <c r="Y5" s="1083"/>
      <c r="Z5" s="1083"/>
      <c r="AA5" s="1083"/>
      <c r="AB5" s="1083"/>
      <c r="AC5" s="1083"/>
      <c r="AD5" s="1083"/>
      <c r="AE5" s="1083"/>
      <c r="AF5" s="1083"/>
      <c r="AG5" s="1083"/>
      <c r="AH5" s="1083"/>
      <c r="AI5" s="1083"/>
      <c r="AJ5" s="1083"/>
      <c r="AK5" s="1083"/>
      <c r="AL5" s="1083"/>
      <c r="AM5" s="1083"/>
      <c r="AP5" s="71">
        <v>4</v>
      </c>
      <c r="AQ5" s="71">
        <v>5</v>
      </c>
      <c r="AR5" s="65"/>
      <c r="AS5" s="65"/>
      <c r="AT5" s="2">
        <v>3</v>
      </c>
      <c r="AU5" s="69">
        <v>3</v>
      </c>
      <c r="AV5" s="69">
        <v>3</v>
      </c>
      <c r="AW5" s="69">
        <v>3</v>
      </c>
      <c r="AX5" s="76" t="s">
        <v>152</v>
      </c>
      <c r="AY5" s="71"/>
      <c r="AZ5" s="69" t="s">
        <v>1411</v>
      </c>
      <c r="BA5" s="71" t="s">
        <v>598</v>
      </c>
    </row>
    <row r="6" spans="1:54" ht="20.25" customHeight="1">
      <c r="A6" s="1083"/>
      <c r="B6" s="1087" t="str">
        <f>【様式１】総括表・個票!A3&amp;"【確認表】"</f>
        <v>2025年度施設型給付費等にかかる加算（調整）適用申請書【確認表】</v>
      </c>
      <c r="C6" s="1083"/>
      <c r="D6" s="1083"/>
      <c r="E6" s="1083"/>
      <c r="F6" s="1083"/>
      <c r="G6" s="1083"/>
      <c r="H6" s="1083"/>
      <c r="I6" s="1083"/>
      <c r="J6" s="1083"/>
      <c r="K6" s="1083"/>
      <c r="L6" s="1083"/>
      <c r="M6" s="1083"/>
      <c r="N6" s="1083"/>
      <c r="O6" s="1083"/>
      <c r="P6" s="1083"/>
      <c r="Q6" s="1083"/>
      <c r="R6" s="1083"/>
      <c r="S6" s="1083"/>
      <c r="T6" s="1083"/>
      <c r="U6" s="1083"/>
      <c r="V6" s="1083"/>
      <c r="W6" s="1083"/>
      <c r="X6" s="1083"/>
      <c r="Y6" s="1083"/>
      <c r="Z6" s="1083"/>
      <c r="AA6" s="1083"/>
      <c r="AB6" s="1083"/>
      <c r="AC6" s="1083"/>
      <c r="AD6" s="1083"/>
      <c r="AE6" s="1083"/>
      <c r="AF6" s="1083"/>
      <c r="AG6" s="1083"/>
      <c r="AH6" s="1083"/>
      <c r="AI6" s="1083"/>
      <c r="AJ6" s="1083"/>
      <c r="AK6" s="1083"/>
      <c r="AL6" s="1083"/>
      <c r="AM6" s="1083"/>
      <c r="AP6" s="71">
        <v>5</v>
      </c>
      <c r="AQ6" s="71">
        <v>4</v>
      </c>
      <c r="AR6" s="65"/>
      <c r="AS6" s="65"/>
      <c r="AT6" s="2">
        <v>3.5</v>
      </c>
      <c r="AU6" s="69">
        <v>4</v>
      </c>
      <c r="AV6" s="69">
        <v>4</v>
      </c>
      <c r="AW6" s="69">
        <v>4</v>
      </c>
      <c r="AZ6" s="69" t="s">
        <v>1412</v>
      </c>
    </row>
    <row r="7" spans="1:54" ht="20.25" customHeight="1">
      <c r="A7" s="1083"/>
      <c r="B7" s="1083"/>
      <c r="C7" s="1083"/>
      <c r="D7" s="1083"/>
      <c r="E7" s="1083"/>
      <c r="F7" s="1083"/>
      <c r="G7" s="1083"/>
      <c r="H7" s="1083"/>
      <c r="I7" s="1083"/>
      <c r="J7" s="1083"/>
      <c r="K7" s="1083"/>
      <c r="L7" s="1083"/>
      <c r="M7" s="1083"/>
      <c r="N7" s="1083"/>
      <c r="O7" s="1083"/>
      <c r="P7" s="1083"/>
      <c r="Q7" s="1083"/>
      <c r="R7" s="1083"/>
      <c r="S7" s="1083"/>
      <c r="T7" s="1083"/>
      <c r="U7" s="1083"/>
      <c r="V7" s="1083"/>
      <c r="W7" s="1083"/>
      <c r="X7" s="1083"/>
      <c r="Y7" s="1083"/>
      <c r="Z7" s="1083"/>
      <c r="AA7" s="1083"/>
      <c r="AB7" s="1083"/>
      <c r="AC7" s="1083"/>
      <c r="AD7" s="1083"/>
      <c r="AE7" s="1083"/>
      <c r="AF7" s="1083"/>
      <c r="AG7" s="1083"/>
      <c r="AH7" s="1083"/>
      <c r="AI7" s="1083"/>
      <c r="AJ7" s="1083"/>
      <c r="AK7" s="1083"/>
      <c r="AL7" s="1083"/>
      <c r="AM7" s="1083"/>
      <c r="AP7" s="71">
        <v>6</v>
      </c>
      <c r="AQ7" s="71"/>
      <c r="AR7" s="65"/>
      <c r="AS7" s="65"/>
      <c r="AT7" s="2">
        <v>4</v>
      </c>
      <c r="AU7" s="69">
        <v>5</v>
      </c>
      <c r="AV7" s="69">
        <v>5</v>
      </c>
      <c r="AW7" s="69">
        <v>5</v>
      </c>
    </row>
    <row r="8" spans="1:54" ht="20.25" customHeight="1">
      <c r="A8" s="1083"/>
      <c r="B8" s="1083" t="s">
        <v>118</v>
      </c>
      <c r="C8" s="1083"/>
      <c r="D8" s="1083"/>
      <c r="E8" s="1083"/>
      <c r="F8" s="1083"/>
      <c r="G8" s="1083"/>
      <c r="H8" s="1083"/>
      <c r="I8" s="1083"/>
      <c r="J8" s="1083"/>
      <c r="K8" s="1083"/>
      <c r="L8" s="1083"/>
      <c r="M8" s="1083"/>
      <c r="N8" s="1083"/>
      <c r="O8" s="1083"/>
      <c r="P8" s="1083"/>
      <c r="Q8" s="1083"/>
      <c r="R8" s="1083"/>
      <c r="S8" s="1083"/>
      <c r="T8" s="1083"/>
      <c r="U8" s="1083"/>
      <c r="V8" s="1083"/>
      <c r="W8" s="1083"/>
      <c r="X8" s="1083"/>
      <c r="Y8" s="1083"/>
      <c r="Z8" s="1083"/>
      <c r="AA8" s="1083"/>
      <c r="AB8" s="1083"/>
      <c r="AC8" s="1083"/>
      <c r="AD8" s="1083"/>
      <c r="AE8" s="1083"/>
      <c r="AF8" s="1083"/>
      <c r="AG8" s="1083"/>
      <c r="AH8" s="1083"/>
      <c r="AI8" s="1083"/>
      <c r="AJ8" s="1083"/>
      <c r="AK8" s="1083"/>
      <c r="AL8" s="1083"/>
      <c r="AM8" s="1083"/>
      <c r="AP8" s="71">
        <v>7</v>
      </c>
      <c r="AQ8" s="71"/>
      <c r="AR8" s="65"/>
      <c r="AS8" s="65"/>
      <c r="AT8" s="2">
        <v>4.5</v>
      </c>
      <c r="AU8" s="65"/>
      <c r="AV8" s="69">
        <v>6</v>
      </c>
      <c r="AW8" s="69">
        <v>6</v>
      </c>
    </row>
    <row r="9" spans="1:54" ht="20.25" customHeight="1">
      <c r="A9" s="1083"/>
      <c r="B9" s="3208" t="s">
        <v>123</v>
      </c>
      <c r="C9" s="3208"/>
      <c r="D9" s="3208"/>
      <c r="E9" s="3208"/>
      <c r="F9" s="3208"/>
      <c r="G9" s="3208"/>
      <c r="H9" s="3208"/>
      <c r="I9" s="3208"/>
      <c r="J9" s="3208"/>
      <c r="K9" s="3208"/>
      <c r="L9" s="3208"/>
      <c r="M9" s="3208"/>
      <c r="N9" s="3208"/>
      <c r="O9" s="3208"/>
      <c r="P9" s="3208"/>
      <c r="Q9" s="3208"/>
      <c r="R9" s="3208"/>
      <c r="S9" s="3208"/>
      <c r="T9" s="3208"/>
      <c r="U9" s="3208"/>
      <c r="V9" s="3208"/>
      <c r="W9" s="3208"/>
      <c r="X9" s="3208"/>
      <c r="Y9" s="3208"/>
      <c r="Z9" s="3208"/>
      <c r="AA9" s="3208"/>
      <c r="AB9" s="3208"/>
      <c r="AC9" s="3208"/>
      <c r="AD9" s="3208"/>
      <c r="AE9" s="3208"/>
      <c r="AF9" s="3208"/>
      <c r="AG9" s="3208"/>
      <c r="AH9" s="3208"/>
      <c r="AI9" s="3208"/>
      <c r="AJ9" s="3208"/>
      <c r="AK9" s="3208"/>
      <c r="AL9" s="3208"/>
      <c r="AM9" s="3208"/>
      <c r="AP9" s="71">
        <v>8</v>
      </c>
      <c r="AQ9" s="71"/>
      <c r="AR9" s="65"/>
      <c r="AS9" s="65"/>
      <c r="AT9" s="2">
        <v>5</v>
      </c>
      <c r="AU9" s="65"/>
      <c r="AV9" s="69">
        <v>7</v>
      </c>
      <c r="AW9" s="69">
        <v>7</v>
      </c>
    </row>
    <row r="10" spans="1:54" ht="20.25" customHeight="1">
      <c r="A10" s="1083"/>
      <c r="B10" s="3208" t="s">
        <v>117</v>
      </c>
      <c r="C10" s="3208"/>
      <c r="D10" s="3208"/>
      <c r="E10" s="3208"/>
      <c r="F10" s="3208"/>
      <c r="G10" s="3208"/>
      <c r="H10" s="3208"/>
      <c r="I10" s="3208"/>
      <c r="J10" s="3208"/>
      <c r="K10" s="3208"/>
      <c r="L10" s="3208"/>
      <c r="M10" s="3208"/>
      <c r="N10" s="3208"/>
      <c r="O10" s="3208"/>
      <c r="P10" s="3208"/>
      <c r="Q10" s="3208"/>
      <c r="R10" s="3208"/>
      <c r="S10" s="3208"/>
      <c r="T10" s="3208"/>
      <c r="U10" s="3208"/>
      <c r="V10" s="3208"/>
      <c r="W10" s="3208"/>
      <c r="X10" s="3208"/>
      <c r="Y10" s="3208"/>
      <c r="Z10" s="3208"/>
      <c r="AA10" s="3208"/>
      <c r="AB10" s="3208"/>
      <c r="AC10" s="3208"/>
      <c r="AD10" s="3208"/>
      <c r="AE10" s="3208"/>
      <c r="AF10" s="3208"/>
      <c r="AG10" s="3208"/>
      <c r="AH10" s="3208"/>
      <c r="AI10" s="3208"/>
      <c r="AJ10" s="3208"/>
      <c r="AK10" s="3208"/>
      <c r="AL10" s="3208"/>
      <c r="AM10" s="3208"/>
      <c r="AP10" s="71">
        <v>9</v>
      </c>
      <c r="AQ10" s="71"/>
      <c r="AT10" s="2">
        <v>5.5</v>
      </c>
      <c r="AV10" s="69">
        <v>8</v>
      </c>
      <c r="AW10" s="69">
        <v>8</v>
      </c>
    </row>
    <row r="11" spans="1:54" ht="20.25" customHeight="1">
      <c r="A11" s="1083"/>
      <c r="B11" s="1083" t="s">
        <v>1645</v>
      </c>
      <c r="C11" s="1083"/>
      <c r="D11" s="1083"/>
      <c r="E11" s="1083"/>
      <c r="F11" s="1083"/>
      <c r="G11" s="1083"/>
      <c r="H11" s="1083"/>
      <c r="I11" s="1083"/>
      <c r="J11" s="1083"/>
      <c r="K11" s="1083"/>
      <c r="L11" s="1083"/>
      <c r="M11" s="1083"/>
      <c r="N11" s="1083"/>
      <c r="O11" s="1083"/>
      <c r="P11" s="1083"/>
      <c r="Q11" s="1083"/>
      <c r="R11" s="1083"/>
      <c r="S11" s="1083"/>
      <c r="T11" s="1083"/>
      <c r="U11" s="1083"/>
      <c r="V11" s="1083"/>
      <c r="W11" s="1083"/>
      <c r="X11" s="1083"/>
      <c r="Y11" s="1083"/>
      <c r="Z11" s="1083"/>
      <c r="AA11" s="1083"/>
      <c r="AB11" s="1083"/>
      <c r="AC11" s="1083"/>
      <c r="AD11" s="1083"/>
      <c r="AE11" s="1083"/>
      <c r="AF11" s="1083"/>
      <c r="AG11" s="1083"/>
      <c r="AH11" s="1083"/>
      <c r="AI11" s="1083"/>
      <c r="AJ11" s="1083"/>
      <c r="AK11" s="1083"/>
      <c r="AL11" s="1083"/>
      <c r="AM11" s="1083"/>
      <c r="AP11" s="71">
        <v>10</v>
      </c>
      <c r="AQ11" s="71"/>
      <c r="AT11" s="2">
        <v>6</v>
      </c>
      <c r="AV11" s="69">
        <v>9</v>
      </c>
      <c r="AW11" s="69">
        <v>9</v>
      </c>
    </row>
    <row r="12" spans="1:54" ht="20.25" customHeight="1" thickBot="1">
      <c r="A12" s="1083"/>
      <c r="B12" s="1083" t="s">
        <v>119</v>
      </c>
      <c r="C12" s="1083"/>
      <c r="D12" s="1083"/>
      <c r="E12" s="1083"/>
      <c r="F12" s="1083"/>
      <c r="G12" s="1083"/>
      <c r="H12" s="1083"/>
      <c r="I12" s="1083"/>
      <c r="J12" s="1083"/>
      <c r="K12" s="1083"/>
      <c r="L12" s="1083"/>
      <c r="M12" s="1083"/>
      <c r="N12" s="1083"/>
      <c r="O12" s="1083"/>
      <c r="P12" s="1083"/>
      <c r="Q12" s="1083"/>
      <c r="R12" s="1083"/>
      <c r="S12" s="1083"/>
      <c r="T12" s="1083"/>
      <c r="U12" s="1083"/>
      <c r="V12" s="1083"/>
      <c r="W12" s="1083"/>
      <c r="X12" s="1083"/>
      <c r="Y12" s="1083"/>
      <c r="Z12" s="1083"/>
      <c r="AA12" s="1083"/>
      <c r="AB12" s="1083"/>
      <c r="AC12" s="1083"/>
      <c r="AD12" s="1083"/>
      <c r="AE12" s="1083"/>
      <c r="AF12" s="1083"/>
      <c r="AG12" s="1083"/>
      <c r="AH12" s="1083"/>
      <c r="AI12" s="1083"/>
      <c r="AJ12" s="1083"/>
      <c r="AK12" s="1083"/>
      <c r="AL12" s="1083"/>
      <c r="AM12" s="1083"/>
      <c r="AP12" s="71">
        <v>11</v>
      </c>
      <c r="AQ12" s="71"/>
      <c r="AT12" s="2">
        <v>6.5</v>
      </c>
      <c r="AV12" s="69">
        <v>10</v>
      </c>
      <c r="AW12" s="69">
        <v>10</v>
      </c>
    </row>
    <row r="13" spans="1:54" ht="39.950000000000003" customHeight="1">
      <c r="A13" s="664"/>
      <c r="B13" s="3209" t="s">
        <v>103</v>
      </c>
      <c r="C13" s="1352">
        <f>【様式１】総括表・個票!$A20</f>
        <v>1</v>
      </c>
      <c r="D13" s="1088">
        <f>【様式１】総括表・個票!$A21</f>
        <v>2</v>
      </c>
      <c r="E13" s="1088">
        <f>【様式１】総括表・個票!$A22</f>
        <v>3</v>
      </c>
      <c r="F13" s="999">
        <f>【様式１】総括表・個票!$A23</f>
        <v>4</v>
      </c>
      <c r="G13" s="1291">
        <f>【様式１】総括表・個票!$A24</f>
        <v>5</v>
      </c>
      <c r="H13" s="1333">
        <f>【様式１】総括表・個票!$A25</f>
        <v>6</v>
      </c>
      <c r="I13" s="999">
        <f>【様式１】総括表・個票!$A26</f>
        <v>7</v>
      </c>
      <c r="J13" s="999">
        <f>【様式１】総括表・個票!$A27</f>
        <v>8</v>
      </c>
      <c r="K13" s="999">
        <f>【様式１】総括表・個票!$A28</f>
        <v>9</v>
      </c>
      <c r="L13" s="1089">
        <f>【様式１】総括表・個票!$A29</f>
        <v>10</v>
      </c>
      <c r="M13" s="3180">
        <f>【様式１】総括表・個票!$A30</f>
        <v>11</v>
      </c>
      <c r="N13" s="3181"/>
      <c r="O13" s="1089">
        <f>【様式１】総括表・個票!A31</f>
        <v>12</v>
      </c>
      <c r="P13" s="1089">
        <f>【様式１】総括表・個票!$A32</f>
        <v>13</v>
      </c>
      <c r="Q13" s="1089">
        <f>【様式１】総括表・個票!$A34</f>
        <v>15</v>
      </c>
      <c r="R13" s="1089">
        <f>【様式１】総括表・個票!$A35</f>
        <v>16</v>
      </c>
      <c r="S13" s="1089">
        <f>【様式１】総括表・個票!A36</f>
        <v>17</v>
      </c>
      <c r="T13" s="1089">
        <f>【様式１】総括表・個票!$A39</f>
        <v>19</v>
      </c>
      <c r="U13" s="1089">
        <f>【様式１】総括表・個票!$A40</f>
        <v>20</v>
      </c>
      <c r="V13" s="1089">
        <f>【様式１】総括表・個票!$A41</f>
        <v>21</v>
      </c>
      <c r="W13" s="1089">
        <f>【様式１】総括表・個票!$A42</f>
        <v>22</v>
      </c>
      <c r="X13" s="3180">
        <f>【様式１】総括表・個票!$A43</f>
        <v>23</v>
      </c>
      <c r="Y13" s="3181"/>
      <c r="Z13" s="1089">
        <f>【様式１】総括表・個票!$A46</f>
        <v>25</v>
      </c>
      <c r="AA13" s="1089">
        <f>【様式１】総括表・個票!$A47</f>
        <v>26</v>
      </c>
      <c r="AB13" s="1089">
        <f>【様式１】総括表・個票!$A49</f>
        <v>27</v>
      </c>
      <c r="AC13" s="1089">
        <f>【様式１】総括表・個票!$A50</f>
        <v>28</v>
      </c>
      <c r="AD13" s="1089">
        <f>【様式１】総括表・個票!$A51</f>
        <v>29</v>
      </c>
      <c r="AE13" s="1089">
        <f>【様式１】総括表・個票!$A52</f>
        <v>30</v>
      </c>
      <c r="AF13" s="1089">
        <f>【様式１】総括表・個票!$A53</f>
        <v>31</v>
      </c>
      <c r="AG13" s="1089">
        <f>【様式１】総括表・個票!$A54</f>
        <v>32</v>
      </c>
      <c r="AH13" s="1089">
        <f>【様式１】総括表・個票!$A56</f>
        <v>33</v>
      </c>
      <c r="AI13" s="1089">
        <f>【様式１】総括表・個票!$A57</f>
        <v>34</v>
      </c>
      <c r="AJ13" s="1089">
        <f>【様式１】総括表・個票!$A58</f>
        <v>35</v>
      </c>
      <c r="AK13" s="1089">
        <f>【様式１】総括表・個票!$A59</f>
        <v>36</v>
      </c>
      <c r="AL13" s="1089">
        <f>【様式１】総括表・個票!$A60</f>
        <v>37</v>
      </c>
      <c r="AM13" s="1090">
        <f>【様式１】総括表・個票!$A61</f>
        <v>38</v>
      </c>
      <c r="AP13" s="71">
        <v>12</v>
      </c>
      <c r="AQ13" s="71"/>
      <c r="AT13" s="2">
        <v>7</v>
      </c>
      <c r="AV13" s="69">
        <v>11</v>
      </c>
      <c r="AW13" s="69">
        <v>11</v>
      </c>
    </row>
    <row r="14" spans="1:54" ht="340.5" customHeight="1">
      <c r="A14" s="664"/>
      <c r="B14" s="3210"/>
      <c r="C14" s="1353" t="str">
        <f>【様式１】総括表・個票!$F20</f>
        <v>処遇改善等加算</v>
      </c>
      <c r="D14" s="1212" t="str">
        <f>【様式１】総括表・個票!$F21</f>
        <v>副園長・教頭配置加算</v>
      </c>
      <c r="E14" s="1212" t="str">
        <f>【様式１】総括表・個票!$F22</f>
        <v>学級編成調整加配加算</v>
      </c>
      <c r="F14" s="1212" t="str">
        <f>【様式１】総括表・個票!$F23</f>
        <v>3歳児配置改善加算</v>
      </c>
      <c r="G14" s="1301" t="str">
        <f>【様式１】総括表・個票!$F24</f>
        <v>4歳以上児配置改善加算</v>
      </c>
      <c r="H14" s="1301" t="str">
        <f>【様式１】総括表・個票!$F25</f>
        <v>1歳児配置改善加算</v>
      </c>
      <c r="I14" s="1212" t="str">
        <f>【様式１】総括表・個票!$F26</f>
        <v>満3歳児対応加配加算</v>
      </c>
      <c r="J14" s="1212" t="str">
        <f>【様式１】総括表・個票!$F27</f>
        <v>講師配置加算</v>
      </c>
      <c r="K14" s="1212" t="str">
        <f>【様式１】総括表・個票!$F28</f>
        <v>チーム保育加配加算</v>
      </c>
      <c r="L14" s="1212" t="str">
        <f>【様式１】総括表・個票!$F29</f>
        <v>通園送迎加算</v>
      </c>
      <c r="M14" s="3211" t="str">
        <f>【様式１】総括表・個票!$F30</f>
        <v>給食実施加算（１号）</v>
      </c>
      <c r="N14" s="3212"/>
      <c r="O14" s="1212" t="str">
        <f>【様式１】総括表・個票!F31</f>
        <v>副食費徴収免除加算(１号)</v>
      </c>
      <c r="P14" s="1212" t="str">
        <f>【様式１】総括表・個票!$F32</f>
        <v>休日保育加算</v>
      </c>
      <c r="Q14" s="1212" t="str">
        <f>【様式１】総括表・個票!$F34</f>
        <v>減価償却費加算</v>
      </c>
      <c r="R14" s="1212" t="str">
        <f>【様式１】総括表・個票!$F35</f>
        <v>賃借料加算</v>
      </c>
      <c r="S14" s="1212" t="str">
        <f>【様式１】総括表・個票!F36</f>
        <v>副食費徴収免除加算(２号)</v>
      </c>
      <c r="T14" s="1212" t="str">
        <f>【様式１】総括表・個票!$F39</f>
        <v>分園の場合(減算）</v>
      </c>
      <c r="U14" s="1217" t="str">
        <f>【様式１】総括表・個票!$F40</f>
        <v>土曜日に閉所する場合（前月分実績は備考欄に記載）(減算）</v>
      </c>
      <c r="V14" s="1213" t="str">
        <f>【様式１】総括表・個票!$F41</f>
        <v>主幹保育教諭等の専任化により子育て支援の取組みを実施していない場合(１号)(減算）</v>
      </c>
      <c r="W14" s="1213" t="str">
        <f>【様式１】総括表・個票!$F42</f>
        <v>主幹保育教諭等の専任化により子育て支援の取組みを実施していない場合(２・３号)(減算）</v>
      </c>
      <c r="X14" s="3182" t="str">
        <f>【様式１】総括表・個票!$F43</f>
        <v>年齢別配置基準を下回る場合(減算）</v>
      </c>
      <c r="Y14" s="3183"/>
      <c r="Z14" s="1214" t="str">
        <f>【様式１】総括表・個票!$F46</f>
        <v>定員を恒常的に超過する場合(１号)(減算）</v>
      </c>
      <c r="AA14" s="1214" t="str">
        <f>【様式１】総括表・個票!$F47</f>
        <v>定員を恒常的に超過する場合(２・３号)(減算）</v>
      </c>
      <c r="AB14" s="1215" t="str">
        <f>【様式１】総括表・個票!$F49</f>
        <v>療育支援加算</v>
      </c>
      <c r="AC14" s="1212" t="str">
        <f>【様式１】総括表・個票!$F50</f>
        <v>事務職員配置加算</v>
      </c>
      <c r="AD14" s="1212" t="str">
        <f>【様式１】総括表・個票!$F51</f>
        <v>指導充実加配加算</v>
      </c>
      <c r="AE14" s="1212" t="str">
        <f>【様式１】総括表・個票!$F52</f>
        <v>事務負担対応加配加算</v>
      </c>
      <c r="AF14" s="1212" t="str">
        <f>【様式１】総括表・個票!$F53</f>
        <v>栄養管理加算</v>
      </c>
      <c r="AG14" s="1212" t="str">
        <f>【様式１】総括表・個票!$F54</f>
        <v>冷暖房費加算</v>
      </c>
      <c r="AH14" s="1212" t="str">
        <f>【様式１】総括表・個票!$F56</f>
        <v>外部監査費加算</v>
      </c>
      <c r="AI14" s="1212" t="str">
        <f>【様式１】総括表・個票!$F57</f>
        <v>施設関係者評価加算</v>
      </c>
      <c r="AJ14" s="1212" t="str">
        <f>【様式１】総括表・個票!$F58</f>
        <v>高齢者等活躍促進加算</v>
      </c>
      <c r="AK14" s="1212" t="str">
        <f>【様式１】総括表・個票!$F59</f>
        <v>施設機能強化推進費加算</v>
      </c>
      <c r="AL14" s="1212" t="str">
        <f>【様式１】総括表・個票!$F60</f>
        <v>小学校接続加算</v>
      </c>
      <c r="AM14" s="1216" t="str">
        <f>【様式１】総括表・個票!$F61</f>
        <v>第三者評価受審加算</v>
      </c>
      <c r="AT14" s="2">
        <v>7.5</v>
      </c>
      <c r="AV14" s="69">
        <v>12</v>
      </c>
      <c r="AW14" s="69">
        <v>12</v>
      </c>
    </row>
    <row r="15" spans="1:54" ht="62.25" thickBot="1">
      <c r="A15" s="664"/>
      <c r="B15" s="3210"/>
      <c r="C15" s="1354"/>
      <c r="D15" s="1351"/>
      <c r="E15" s="1091"/>
      <c r="F15" s="1091"/>
      <c r="G15" s="1091"/>
      <c r="H15" s="1091"/>
      <c r="I15" s="1091"/>
      <c r="J15" s="1091"/>
      <c r="K15" s="1091" t="s">
        <v>401</v>
      </c>
      <c r="L15" s="1091"/>
      <c r="M15" s="1092" t="s">
        <v>160</v>
      </c>
      <c r="N15" s="1093" t="s">
        <v>522</v>
      </c>
      <c r="O15" s="1091" t="s">
        <v>567</v>
      </c>
      <c r="P15" s="1094">
        <f>【様式１】総括表・個票!AD245</f>
        <v>0</v>
      </c>
      <c r="Q15" s="1091" t="s">
        <v>466</v>
      </c>
      <c r="R15" s="1091" t="s">
        <v>148</v>
      </c>
      <c r="S15" s="1091"/>
      <c r="T15" s="1091"/>
      <c r="U15" s="1091" t="s">
        <v>568</v>
      </c>
      <c r="V15" s="1095" t="s">
        <v>162</v>
      </c>
      <c r="W15" s="1095" t="s">
        <v>162</v>
      </c>
      <c r="X15" s="1096" t="s">
        <v>542</v>
      </c>
      <c r="Y15" s="1097" t="s">
        <v>543</v>
      </c>
      <c r="Z15" s="1095" t="s">
        <v>162</v>
      </c>
      <c r="AA15" s="1091" t="s">
        <v>162</v>
      </c>
      <c r="AB15" s="1091" t="s">
        <v>566</v>
      </c>
      <c r="AC15" s="1091"/>
      <c r="AD15" s="1091"/>
      <c r="AE15" s="1091"/>
      <c r="AF15" s="1091" t="s">
        <v>566</v>
      </c>
      <c r="AG15" s="1091" t="s">
        <v>163</v>
      </c>
      <c r="AH15" s="1098" t="s">
        <v>398</v>
      </c>
      <c r="AI15" s="1098" t="s">
        <v>398</v>
      </c>
      <c r="AJ15" s="1098" t="s">
        <v>398</v>
      </c>
      <c r="AK15" s="1098" t="s">
        <v>398</v>
      </c>
      <c r="AL15" s="1098" t="s">
        <v>398</v>
      </c>
      <c r="AM15" s="1099" t="s">
        <v>398</v>
      </c>
      <c r="AT15" s="2">
        <v>8</v>
      </c>
      <c r="AV15" s="69">
        <v>13</v>
      </c>
      <c r="AW15" s="69">
        <v>13</v>
      </c>
    </row>
    <row r="16" spans="1:54" ht="35.1" customHeight="1">
      <c r="A16" s="664"/>
      <c r="B16" s="1100" t="s">
        <v>125</v>
      </c>
      <c r="C16" s="3187"/>
      <c r="D16" s="118"/>
      <c r="E16" s="118"/>
      <c r="F16" s="118"/>
      <c r="G16" s="118"/>
      <c r="H16" s="118"/>
      <c r="I16" s="118"/>
      <c r="J16" s="118"/>
      <c r="K16" s="118"/>
      <c r="L16" s="118"/>
      <c r="M16" s="118"/>
      <c r="N16" s="118"/>
      <c r="O16" s="118"/>
      <c r="P16" s="1103">
        <f>【様式１】総括表・個票!F245</f>
        <v>0</v>
      </c>
      <c r="Q16" s="118"/>
      <c r="R16" s="118"/>
      <c r="S16" s="3190" t="s">
        <v>72</v>
      </c>
      <c r="T16" s="118"/>
      <c r="U16" s="118"/>
      <c r="V16" s="118"/>
      <c r="W16" s="118"/>
      <c r="X16" s="118"/>
      <c r="Y16" s="1103">
        <f>X16/2</f>
        <v>0</v>
      </c>
      <c r="Z16" s="118"/>
      <c r="AA16" s="118"/>
      <c r="AB16" s="118"/>
      <c r="AC16" s="118"/>
      <c r="AD16" s="118"/>
      <c r="AE16" s="118"/>
      <c r="AF16" s="118"/>
      <c r="AG16" s="3190" t="s">
        <v>72</v>
      </c>
      <c r="AH16" s="3184"/>
      <c r="AI16" s="3184"/>
      <c r="AJ16" s="3196"/>
      <c r="AK16" s="3184"/>
      <c r="AL16" s="3184"/>
      <c r="AM16" s="3193"/>
      <c r="AV16" s="69">
        <v>14</v>
      </c>
      <c r="AW16" s="69">
        <v>14</v>
      </c>
    </row>
    <row r="17" spans="1:49" ht="35.1" customHeight="1">
      <c r="A17" s="664"/>
      <c r="B17" s="1101" t="s">
        <v>105</v>
      </c>
      <c r="C17" s="3188"/>
      <c r="D17" s="119"/>
      <c r="E17" s="119"/>
      <c r="F17" s="119"/>
      <c r="G17" s="119"/>
      <c r="H17" s="119"/>
      <c r="I17" s="119"/>
      <c r="J17" s="119"/>
      <c r="K17" s="119"/>
      <c r="L17" s="119"/>
      <c r="M17" s="119"/>
      <c r="N17" s="119"/>
      <c r="O17" s="119"/>
      <c r="P17" s="1104">
        <f>【様式１】総括表・個票!H245</f>
        <v>0</v>
      </c>
      <c r="Q17" s="119"/>
      <c r="R17" s="119"/>
      <c r="S17" s="3191"/>
      <c r="T17" s="119"/>
      <c r="U17" s="119"/>
      <c r="V17" s="119"/>
      <c r="W17" s="119"/>
      <c r="X17" s="119"/>
      <c r="Y17" s="1104">
        <f t="shared" ref="Y17:Y27" si="0">X17/2</f>
        <v>0</v>
      </c>
      <c r="Z17" s="119"/>
      <c r="AA17" s="119"/>
      <c r="AB17" s="119"/>
      <c r="AC17" s="119"/>
      <c r="AD17" s="119"/>
      <c r="AE17" s="119"/>
      <c r="AF17" s="119"/>
      <c r="AG17" s="3191"/>
      <c r="AH17" s="3185"/>
      <c r="AI17" s="3185"/>
      <c r="AJ17" s="3197"/>
      <c r="AK17" s="3185"/>
      <c r="AL17" s="3185"/>
      <c r="AM17" s="3194"/>
      <c r="AV17" s="69">
        <v>15</v>
      </c>
      <c r="AW17" s="69">
        <v>15</v>
      </c>
    </row>
    <row r="18" spans="1:49" ht="35.1" customHeight="1">
      <c r="A18" s="664"/>
      <c r="B18" s="1101" t="s">
        <v>106</v>
      </c>
      <c r="C18" s="3188"/>
      <c r="D18" s="119"/>
      <c r="E18" s="119"/>
      <c r="F18" s="119"/>
      <c r="G18" s="119"/>
      <c r="H18" s="119"/>
      <c r="I18" s="119"/>
      <c r="J18" s="119"/>
      <c r="K18" s="119"/>
      <c r="L18" s="119"/>
      <c r="M18" s="119"/>
      <c r="N18" s="119"/>
      <c r="O18" s="119"/>
      <c r="P18" s="1104">
        <f>【様式１】総括表・個票!J245</f>
        <v>0</v>
      </c>
      <c r="Q18" s="119"/>
      <c r="R18" s="119"/>
      <c r="S18" s="3191"/>
      <c r="T18" s="119"/>
      <c r="U18" s="119"/>
      <c r="V18" s="119"/>
      <c r="W18" s="119"/>
      <c r="X18" s="119"/>
      <c r="Y18" s="1104">
        <f t="shared" si="0"/>
        <v>0</v>
      </c>
      <c r="Z18" s="119"/>
      <c r="AA18" s="119"/>
      <c r="AB18" s="119"/>
      <c r="AC18" s="119"/>
      <c r="AD18" s="119"/>
      <c r="AE18" s="119"/>
      <c r="AF18" s="119"/>
      <c r="AG18" s="3191"/>
      <c r="AH18" s="3185"/>
      <c r="AI18" s="3185"/>
      <c r="AJ18" s="3197"/>
      <c r="AK18" s="3185"/>
      <c r="AL18" s="3185"/>
      <c r="AM18" s="3194"/>
      <c r="AV18" s="69">
        <v>16</v>
      </c>
      <c r="AW18" s="69">
        <v>16</v>
      </c>
    </row>
    <row r="19" spans="1:49" ht="35.1" customHeight="1">
      <c r="A19" s="664"/>
      <c r="B19" s="1101" t="s">
        <v>107</v>
      </c>
      <c r="C19" s="3188"/>
      <c r="D19" s="119"/>
      <c r="E19" s="119"/>
      <c r="F19" s="119"/>
      <c r="G19" s="119"/>
      <c r="H19" s="119"/>
      <c r="I19" s="119"/>
      <c r="J19" s="119"/>
      <c r="K19" s="119"/>
      <c r="L19" s="119"/>
      <c r="M19" s="119"/>
      <c r="N19" s="119"/>
      <c r="O19" s="119"/>
      <c r="P19" s="1104">
        <f>【様式１】総括表・個票!L245</f>
        <v>0</v>
      </c>
      <c r="Q19" s="119"/>
      <c r="R19" s="119"/>
      <c r="S19" s="3191"/>
      <c r="T19" s="119"/>
      <c r="U19" s="119"/>
      <c r="V19" s="119"/>
      <c r="W19" s="119"/>
      <c r="X19" s="119"/>
      <c r="Y19" s="1104">
        <f t="shared" si="0"/>
        <v>0</v>
      </c>
      <c r="Z19" s="119"/>
      <c r="AA19" s="119"/>
      <c r="AB19" s="119"/>
      <c r="AC19" s="119"/>
      <c r="AD19" s="119"/>
      <c r="AE19" s="119"/>
      <c r="AF19" s="119"/>
      <c r="AG19" s="3191"/>
      <c r="AH19" s="3185"/>
      <c r="AI19" s="3185"/>
      <c r="AJ19" s="3197"/>
      <c r="AK19" s="3185"/>
      <c r="AL19" s="3185"/>
      <c r="AM19" s="3194"/>
      <c r="AV19" s="69">
        <v>17</v>
      </c>
      <c r="AW19" s="69">
        <v>17</v>
      </c>
    </row>
    <row r="20" spans="1:49" ht="35.1" customHeight="1">
      <c r="A20" s="664"/>
      <c r="B20" s="1101" t="s">
        <v>108</v>
      </c>
      <c r="C20" s="3188"/>
      <c r="D20" s="119"/>
      <c r="E20" s="119"/>
      <c r="F20" s="119"/>
      <c r="G20" s="119"/>
      <c r="H20" s="119"/>
      <c r="I20" s="119"/>
      <c r="J20" s="119"/>
      <c r="K20" s="119"/>
      <c r="L20" s="119"/>
      <c r="M20" s="119"/>
      <c r="N20" s="119"/>
      <c r="O20" s="119"/>
      <c r="P20" s="1104">
        <f>【様式１】総括表・個票!N245</f>
        <v>0</v>
      </c>
      <c r="Q20" s="119"/>
      <c r="R20" s="119"/>
      <c r="S20" s="3191"/>
      <c r="T20" s="119"/>
      <c r="U20" s="119"/>
      <c r="V20" s="119"/>
      <c r="W20" s="119"/>
      <c r="X20" s="119"/>
      <c r="Y20" s="1104">
        <f t="shared" si="0"/>
        <v>0</v>
      </c>
      <c r="Z20" s="119"/>
      <c r="AA20" s="119"/>
      <c r="AB20" s="119"/>
      <c r="AC20" s="119"/>
      <c r="AD20" s="119"/>
      <c r="AE20" s="119"/>
      <c r="AF20" s="119"/>
      <c r="AG20" s="3191"/>
      <c r="AH20" s="3185"/>
      <c r="AI20" s="3185"/>
      <c r="AJ20" s="3197"/>
      <c r="AK20" s="3185"/>
      <c r="AL20" s="3185"/>
      <c r="AM20" s="3194"/>
      <c r="AV20" s="69">
        <v>18</v>
      </c>
      <c r="AW20" s="69">
        <v>18</v>
      </c>
    </row>
    <row r="21" spans="1:49" ht="35.1" customHeight="1">
      <c r="A21" s="664"/>
      <c r="B21" s="1101" t="s">
        <v>109</v>
      </c>
      <c r="C21" s="3188"/>
      <c r="D21" s="119"/>
      <c r="E21" s="119"/>
      <c r="F21" s="119"/>
      <c r="G21" s="119"/>
      <c r="H21" s="119"/>
      <c r="I21" s="119"/>
      <c r="J21" s="119"/>
      <c r="K21" s="119"/>
      <c r="L21" s="119"/>
      <c r="M21" s="119"/>
      <c r="N21" s="119"/>
      <c r="O21" s="119"/>
      <c r="P21" s="1104">
        <f>【様式１】総括表・個票!P245</f>
        <v>0</v>
      </c>
      <c r="Q21" s="119"/>
      <c r="R21" s="119"/>
      <c r="S21" s="3191"/>
      <c r="T21" s="119"/>
      <c r="U21" s="119"/>
      <c r="V21" s="119"/>
      <c r="W21" s="119"/>
      <c r="X21" s="119"/>
      <c r="Y21" s="1104">
        <f t="shared" si="0"/>
        <v>0</v>
      </c>
      <c r="Z21" s="119"/>
      <c r="AA21" s="119"/>
      <c r="AB21" s="119"/>
      <c r="AC21" s="119"/>
      <c r="AD21" s="119"/>
      <c r="AE21" s="119"/>
      <c r="AF21" s="119"/>
      <c r="AG21" s="3191"/>
      <c r="AH21" s="3185"/>
      <c r="AI21" s="3185"/>
      <c r="AJ21" s="3197"/>
      <c r="AK21" s="3185"/>
      <c r="AL21" s="3185"/>
      <c r="AM21" s="3194"/>
      <c r="AV21" s="69">
        <v>19</v>
      </c>
      <c r="AW21" s="69">
        <v>19</v>
      </c>
    </row>
    <row r="22" spans="1:49" ht="35.1" customHeight="1">
      <c r="A22" s="664"/>
      <c r="B22" s="1101" t="s">
        <v>110</v>
      </c>
      <c r="C22" s="3188"/>
      <c r="D22" s="119"/>
      <c r="E22" s="119"/>
      <c r="F22" s="119"/>
      <c r="G22" s="119"/>
      <c r="H22" s="119"/>
      <c r="I22" s="119"/>
      <c r="J22" s="119"/>
      <c r="K22" s="119"/>
      <c r="L22" s="119"/>
      <c r="M22" s="119"/>
      <c r="N22" s="119"/>
      <c r="O22" s="119"/>
      <c r="P22" s="1104">
        <f>【様式１】総括表・個票!R245</f>
        <v>0</v>
      </c>
      <c r="Q22" s="119"/>
      <c r="R22" s="119"/>
      <c r="S22" s="3191"/>
      <c r="T22" s="119"/>
      <c r="U22" s="119"/>
      <c r="V22" s="119"/>
      <c r="W22" s="119"/>
      <c r="X22" s="119"/>
      <c r="Y22" s="1104">
        <f t="shared" si="0"/>
        <v>0</v>
      </c>
      <c r="Z22" s="119"/>
      <c r="AA22" s="119"/>
      <c r="AB22" s="119"/>
      <c r="AC22" s="119"/>
      <c r="AD22" s="119"/>
      <c r="AE22" s="119"/>
      <c r="AF22" s="119"/>
      <c r="AG22" s="3191"/>
      <c r="AH22" s="3185"/>
      <c r="AI22" s="3185"/>
      <c r="AJ22" s="3197"/>
      <c r="AK22" s="3185"/>
      <c r="AL22" s="3185"/>
      <c r="AM22" s="3194"/>
      <c r="AV22" s="104">
        <v>20</v>
      </c>
      <c r="AW22" s="69">
        <v>20</v>
      </c>
    </row>
    <row r="23" spans="1:49" ht="35.1" customHeight="1">
      <c r="A23" s="664"/>
      <c r="B23" s="1101" t="s">
        <v>111</v>
      </c>
      <c r="C23" s="3188"/>
      <c r="D23" s="119"/>
      <c r="E23" s="119"/>
      <c r="F23" s="119"/>
      <c r="G23" s="119"/>
      <c r="H23" s="119"/>
      <c r="I23" s="119"/>
      <c r="J23" s="119"/>
      <c r="K23" s="119"/>
      <c r="L23" s="119"/>
      <c r="M23" s="119"/>
      <c r="N23" s="119"/>
      <c r="O23" s="119"/>
      <c r="P23" s="1104">
        <f>【様式１】総括表・個票!T245</f>
        <v>0</v>
      </c>
      <c r="Q23" s="119"/>
      <c r="R23" s="119"/>
      <c r="S23" s="3191"/>
      <c r="T23" s="119"/>
      <c r="U23" s="119"/>
      <c r="V23" s="119"/>
      <c r="W23" s="119"/>
      <c r="X23" s="119"/>
      <c r="Y23" s="1104">
        <f t="shared" si="0"/>
        <v>0</v>
      </c>
      <c r="Z23" s="119"/>
      <c r="AA23" s="119"/>
      <c r="AB23" s="119"/>
      <c r="AC23" s="119"/>
      <c r="AD23" s="119"/>
      <c r="AE23" s="119"/>
      <c r="AF23" s="119"/>
      <c r="AG23" s="3191"/>
      <c r="AH23" s="3185"/>
      <c r="AI23" s="3185"/>
      <c r="AJ23" s="3197"/>
      <c r="AK23" s="3185"/>
      <c r="AL23" s="3185"/>
      <c r="AM23" s="3194"/>
      <c r="AV23" s="74"/>
      <c r="AW23" s="69">
        <v>21</v>
      </c>
    </row>
    <row r="24" spans="1:49" ht="35.1" customHeight="1">
      <c r="A24" s="664"/>
      <c r="B24" s="1101" t="s">
        <v>112</v>
      </c>
      <c r="C24" s="3188"/>
      <c r="D24" s="119"/>
      <c r="E24" s="119"/>
      <c r="F24" s="119"/>
      <c r="G24" s="119"/>
      <c r="H24" s="119"/>
      <c r="I24" s="119"/>
      <c r="J24" s="119"/>
      <c r="K24" s="119"/>
      <c r="L24" s="119"/>
      <c r="M24" s="119"/>
      <c r="N24" s="119"/>
      <c r="O24" s="119"/>
      <c r="P24" s="1104">
        <f>【様式１】総括表・個票!V245</f>
        <v>0</v>
      </c>
      <c r="Q24" s="119"/>
      <c r="R24" s="119"/>
      <c r="S24" s="3191"/>
      <c r="T24" s="119"/>
      <c r="U24" s="119"/>
      <c r="V24" s="119"/>
      <c r="W24" s="119"/>
      <c r="X24" s="119"/>
      <c r="Y24" s="1104">
        <f t="shared" si="0"/>
        <v>0</v>
      </c>
      <c r="Z24" s="119"/>
      <c r="AA24" s="119"/>
      <c r="AB24" s="119"/>
      <c r="AC24" s="119"/>
      <c r="AD24" s="119"/>
      <c r="AE24" s="119"/>
      <c r="AF24" s="119"/>
      <c r="AG24" s="3191"/>
      <c r="AH24" s="3185"/>
      <c r="AI24" s="3185"/>
      <c r="AJ24" s="3197"/>
      <c r="AK24" s="3185"/>
      <c r="AL24" s="3185"/>
      <c r="AM24" s="3194"/>
      <c r="AW24" s="69">
        <v>22</v>
      </c>
    </row>
    <row r="25" spans="1:49" ht="35.1" customHeight="1">
      <c r="A25" s="664"/>
      <c r="B25" s="1101" t="s">
        <v>113</v>
      </c>
      <c r="C25" s="3188"/>
      <c r="D25" s="119"/>
      <c r="E25" s="119"/>
      <c r="F25" s="119"/>
      <c r="G25" s="119"/>
      <c r="H25" s="119"/>
      <c r="I25" s="119"/>
      <c r="J25" s="119"/>
      <c r="K25" s="119"/>
      <c r="L25" s="119"/>
      <c r="M25" s="119"/>
      <c r="N25" s="119"/>
      <c r="O25" s="119"/>
      <c r="P25" s="1104">
        <f>【様式１】総括表・個票!X245</f>
        <v>0</v>
      </c>
      <c r="Q25" s="119"/>
      <c r="R25" s="119"/>
      <c r="S25" s="3191"/>
      <c r="T25" s="119"/>
      <c r="U25" s="119"/>
      <c r="V25" s="119"/>
      <c r="W25" s="119"/>
      <c r="X25" s="119"/>
      <c r="Y25" s="1104">
        <f t="shared" si="0"/>
        <v>0</v>
      </c>
      <c r="Z25" s="119"/>
      <c r="AA25" s="119"/>
      <c r="AB25" s="119"/>
      <c r="AC25" s="119"/>
      <c r="AD25" s="119"/>
      <c r="AE25" s="119"/>
      <c r="AF25" s="119"/>
      <c r="AG25" s="3191"/>
      <c r="AH25" s="3185"/>
      <c r="AI25" s="3185"/>
      <c r="AJ25" s="3197"/>
      <c r="AK25" s="3185"/>
      <c r="AL25" s="3185"/>
      <c r="AM25" s="3194"/>
      <c r="AW25" s="69">
        <v>23</v>
      </c>
    </row>
    <row r="26" spans="1:49" ht="35.1" customHeight="1">
      <c r="A26" s="664"/>
      <c r="B26" s="1101" t="s">
        <v>114</v>
      </c>
      <c r="C26" s="3188"/>
      <c r="D26" s="119"/>
      <c r="E26" s="119"/>
      <c r="F26" s="119"/>
      <c r="G26" s="119"/>
      <c r="H26" s="119"/>
      <c r="I26" s="119"/>
      <c r="J26" s="119"/>
      <c r="K26" s="119"/>
      <c r="L26" s="119"/>
      <c r="M26" s="119"/>
      <c r="N26" s="119"/>
      <c r="O26" s="119"/>
      <c r="P26" s="1104">
        <f>【様式１】総括表・個票!Z245</f>
        <v>0</v>
      </c>
      <c r="Q26" s="119"/>
      <c r="R26" s="119"/>
      <c r="S26" s="3191"/>
      <c r="T26" s="119"/>
      <c r="U26" s="119"/>
      <c r="V26" s="119"/>
      <c r="W26" s="119"/>
      <c r="X26" s="119"/>
      <c r="Y26" s="1104">
        <f t="shared" si="0"/>
        <v>0</v>
      </c>
      <c r="Z26" s="119"/>
      <c r="AA26" s="119"/>
      <c r="AB26" s="119"/>
      <c r="AC26" s="119"/>
      <c r="AD26" s="119"/>
      <c r="AE26" s="119"/>
      <c r="AF26" s="119"/>
      <c r="AG26" s="3191"/>
      <c r="AH26" s="3185"/>
      <c r="AI26" s="3185"/>
      <c r="AJ26" s="3197"/>
      <c r="AK26" s="3185"/>
      <c r="AL26" s="3185"/>
      <c r="AM26" s="3194"/>
      <c r="AW26" s="69">
        <v>24</v>
      </c>
    </row>
    <row r="27" spans="1:49" ht="35.1" customHeight="1" thickBot="1">
      <c r="A27" s="664"/>
      <c r="B27" s="1102" t="s">
        <v>115</v>
      </c>
      <c r="C27" s="3189"/>
      <c r="D27" s="120"/>
      <c r="E27" s="120"/>
      <c r="F27" s="120"/>
      <c r="G27" s="119"/>
      <c r="H27" s="1355"/>
      <c r="I27" s="120"/>
      <c r="J27" s="120"/>
      <c r="K27" s="120"/>
      <c r="L27" s="120"/>
      <c r="M27" s="120"/>
      <c r="N27" s="120"/>
      <c r="O27" s="120"/>
      <c r="P27" s="1105">
        <f>【様式１】総括表・個票!AB245</f>
        <v>0</v>
      </c>
      <c r="Q27" s="120"/>
      <c r="R27" s="120"/>
      <c r="S27" s="3192"/>
      <c r="T27" s="120"/>
      <c r="U27" s="120"/>
      <c r="V27" s="120"/>
      <c r="W27" s="120"/>
      <c r="X27" s="120"/>
      <c r="Y27" s="1105">
        <f t="shared" si="0"/>
        <v>0</v>
      </c>
      <c r="Z27" s="120"/>
      <c r="AA27" s="120"/>
      <c r="AB27" s="120"/>
      <c r="AC27" s="120"/>
      <c r="AD27" s="120"/>
      <c r="AE27" s="120"/>
      <c r="AF27" s="120"/>
      <c r="AG27" s="3192"/>
      <c r="AH27" s="3186"/>
      <c r="AI27" s="3186"/>
      <c r="AJ27" s="3198"/>
      <c r="AK27" s="3186"/>
      <c r="AL27" s="3186"/>
      <c r="AM27" s="3195"/>
      <c r="AW27" s="69">
        <v>25</v>
      </c>
    </row>
    <row r="28" spans="1:49" ht="35.1" customHeight="1">
      <c r="AW28" s="69">
        <v>26</v>
      </c>
    </row>
    <row r="29" spans="1:49" ht="45" customHeight="1">
      <c r="AW29" s="69">
        <v>27</v>
      </c>
    </row>
    <row r="30" spans="1:49">
      <c r="AW30" s="69">
        <v>28</v>
      </c>
    </row>
    <row r="31" spans="1:49">
      <c r="AW31" s="69">
        <v>29</v>
      </c>
    </row>
    <row r="32" spans="1:49">
      <c r="AW32" s="69">
        <v>30</v>
      </c>
    </row>
    <row r="33" spans="49:49">
      <c r="AW33" s="69">
        <v>31</v>
      </c>
    </row>
    <row r="34" spans="49:49">
      <c r="AW34" s="69">
        <v>32</v>
      </c>
    </row>
    <row r="35" spans="49:49">
      <c r="AW35" s="69">
        <v>33</v>
      </c>
    </row>
    <row r="36" spans="49:49">
      <c r="AW36" s="69">
        <v>34</v>
      </c>
    </row>
    <row r="37" spans="49:49">
      <c r="AW37" s="69">
        <v>35</v>
      </c>
    </row>
    <row r="38" spans="49:49">
      <c r="AW38" s="69">
        <v>36</v>
      </c>
    </row>
    <row r="39" spans="49:49">
      <c r="AW39" s="69">
        <v>37</v>
      </c>
    </row>
    <row r="40" spans="49:49">
      <c r="AW40" s="69">
        <v>38</v>
      </c>
    </row>
    <row r="41" spans="49:49">
      <c r="AW41" s="69">
        <v>39</v>
      </c>
    </row>
    <row r="42" spans="49:49">
      <c r="AW42" s="69">
        <v>40</v>
      </c>
    </row>
    <row r="43" spans="49:49">
      <c r="AW43" s="69">
        <v>41</v>
      </c>
    </row>
    <row r="44" spans="49:49">
      <c r="AW44" s="69">
        <v>42</v>
      </c>
    </row>
    <row r="45" spans="49:49">
      <c r="AW45" s="69">
        <v>43</v>
      </c>
    </row>
    <row r="46" spans="49:49">
      <c r="AW46" s="69">
        <v>44</v>
      </c>
    </row>
    <row r="47" spans="49:49">
      <c r="AW47" s="69">
        <v>45</v>
      </c>
    </row>
    <row r="48" spans="49:49">
      <c r="AW48" s="69">
        <v>46</v>
      </c>
    </row>
    <row r="49" spans="49:49">
      <c r="AW49" s="69">
        <v>47</v>
      </c>
    </row>
    <row r="50" spans="49:49">
      <c r="AW50" s="69">
        <v>48</v>
      </c>
    </row>
    <row r="51" spans="49:49">
      <c r="AW51" s="69">
        <v>49</v>
      </c>
    </row>
    <row r="52" spans="49:49">
      <c r="AW52" s="69">
        <v>50</v>
      </c>
    </row>
    <row r="53" spans="49:49">
      <c r="AW53" s="69">
        <v>51</v>
      </c>
    </row>
    <row r="54" spans="49:49">
      <c r="AW54" s="69">
        <v>52</v>
      </c>
    </row>
    <row r="55" spans="49:49">
      <c r="AW55" s="69">
        <v>53</v>
      </c>
    </row>
    <row r="56" spans="49:49">
      <c r="AW56" s="69">
        <v>54</v>
      </c>
    </row>
    <row r="57" spans="49:49">
      <c r="AW57" s="69">
        <v>55</v>
      </c>
    </row>
    <row r="58" spans="49:49">
      <c r="AW58" s="69">
        <v>56</v>
      </c>
    </row>
    <row r="59" spans="49:49">
      <c r="AW59" s="69">
        <v>57</v>
      </c>
    </row>
    <row r="60" spans="49:49">
      <c r="AW60" s="69">
        <v>58</v>
      </c>
    </row>
    <row r="61" spans="49:49">
      <c r="AW61" s="69">
        <v>59</v>
      </c>
    </row>
    <row r="62" spans="49:49">
      <c r="AW62" s="69">
        <v>60</v>
      </c>
    </row>
    <row r="63" spans="49:49">
      <c r="AW63" s="69">
        <v>61</v>
      </c>
    </row>
    <row r="64" spans="49:49">
      <c r="AW64" s="69">
        <v>62</v>
      </c>
    </row>
    <row r="65" spans="49:49">
      <c r="AW65" s="69">
        <v>63</v>
      </c>
    </row>
  </sheetData>
  <sheetProtection algorithmName="SHA-512" hashValue="d8Ie1vgAGxrUVuXDSRqWCC5g4g1J3NeysQ8Kb3MRlX6va7GvvuzPufj+y0vvOGFQrQta45r7pSWNOyHZPcmVyw==" saltValue="OvedE/dgp6lBsJZZUA1ljg==" spinCount="100000" sheet="1" objects="1" scenarios="1" selectLockedCells="1"/>
  <mergeCells count="23">
    <mergeCell ref="AL16:AL27"/>
    <mergeCell ref="AM16:AM27"/>
    <mergeCell ref="S16:S27"/>
    <mergeCell ref="AJ16:AJ27"/>
    <mergeCell ref="AG1:AM1"/>
    <mergeCell ref="AG2:AM2"/>
    <mergeCell ref="AG4:AM4"/>
    <mergeCell ref="AG3:AI3"/>
    <mergeCell ref="AK3:AL3"/>
    <mergeCell ref="AC3:AF3"/>
    <mergeCell ref="AC4:AF4"/>
    <mergeCell ref="B9:AM9"/>
    <mergeCell ref="B10:AM10"/>
    <mergeCell ref="B13:B15"/>
    <mergeCell ref="M13:N13"/>
    <mergeCell ref="M14:N14"/>
    <mergeCell ref="X13:Y13"/>
    <mergeCell ref="X14:Y14"/>
    <mergeCell ref="AI16:AI27"/>
    <mergeCell ref="AK16:AK27"/>
    <mergeCell ref="C16:C27"/>
    <mergeCell ref="AG16:AG27"/>
    <mergeCell ref="AH16:AH27"/>
  </mergeCells>
  <phoneticPr fontId="1"/>
  <conditionalFormatting sqref="E16:K27">
    <cfRule type="expression" dxfId="8" priority="5">
      <formula>AND(OR(E16&gt;=1,E16="○"),$X16&gt;=1)</formula>
    </cfRule>
  </conditionalFormatting>
  <conditionalFormatting sqref="G16:G27">
    <cfRule type="expression" dxfId="7" priority="2">
      <formula>ISNUMBER($K16)</formula>
    </cfRule>
  </conditionalFormatting>
  <conditionalFormatting sqref="K16:K27">
    <cfRule type="expression" dxfId="6" priority="4">
      <formula>$G16="○"</formula>
    </cfRule>
  </conditionalFormatting>
  <conditionalFormatting sqref="N17:N27">
    <cfRule type="expression" dxfId="5" priority="6">
      <formula>AND(N16&gt;0,N17&gt;0,N16&lt;&gt;N17)</formula>
    </cfRule>
  </conditionalFormatting>
  <conditionalFormatting sqref="Q16:Q27">
    <cfRule type="expression" dxfId="4" priority="8">
      <formula>R16="○"</formula>
    </cfRule>
  </conditionalFormatting>
  <conditionalFormatting sqref="R16:R27">
    <cfRule type="expression" dxfId="3" priority="9">
      <formula>Q16="○"</formula>
    </cfRule>
  </conditionalFormatting>
  <conditionalFormatting sqref="AB16:AB27">
    <cfRule type="expression" dxfId="2" priority="10">
      <formula>AND(OR(V16="○",W16="○"),OR(AB16="その他",AB16="特児"))</formula>
    </cfRule>
  </conditionalFormatting>
  <conditionalFormatting sqref="AD16:AD27">
    <cfRule type="expression" dxfId="1" priority="7">
      <formula>AND(OR(AD16&gt;=1,AD16="○"),$X16&gt;=1)</formula>
    </cfRule>
  </conditionalFormatting>
  <conditionalFormatting sqref="AE16:AE27">
    <cfRule type="expression" dxfId="0" priority="11">
      <formula>AND(AC16=0,AE16="○")</formula>
    </cfRule>
  </conditionalFormatting>
  <dataValidations count="10">
    <dataValidation type="list" errorStyle="warning" showInputMessage="1" showErrorMessage="1" sqref="AB16:AB27" xr:uid="{00000000-0002-0000-1100-000000000000}">
      <formula1>$AS$2:$AS$4</formula1>
    </dataValidation>
    <dataValidation type="list" errorStyle="warning" showInputMessage="1" showErrorMessage="1" sqref="L16:L27 D16:J27 S16:S27 V16:W27 AG16:AG27" xr:uid="{00000000-0002-0000-1100-000003000000}">
      <formula1>$AR$2:$AR$3</formula1>
    </dataValidation>
    <dataValidation type="list" errorStyle="warning" showInputMessage="1" showErrorMessage="1" sqref="N16:N27" xr:uid="{00000000-0002-0000-1100-000004000000}">
      <formula1>$AU$2:$AU$7</formula1>
    </dataValidation>
    <dataValidation type="list" errorStyle="warning" showInputMessage="1" showErrorMessage="1" sqref="X16:X27" xr:uid="{00000000-0002-0000-1100-000005000000}">
      <formula1>$AW$2:$AW$7</formula1>
    </dataValidation>
    <dataValidation type="list" showInputMessage="1" showErrorMessage="1" sqref="AC16:AE27 Q16:R27 Z16:AA27 T16:T27" xr:uid="{00000000-0002-0000-1100-000006000000}">
      <formula1>$AR$2:$AR$3</formula1>
    </dataValidation>
    <dataValidation type="list" errorStyle="warning" showInputMessage="1" showErrorMessage="1" sqref="K16:K27" xr:uid="{00000000-0002-0000-1100-000008000000}">
      <formula1>$AT$2:$AT$15</formula1>
    </dataValidation>
    <dataValidation type="list" errorStyle="warning" showInputMessage="1" showErrorMessage="1" sqref="O16:O27" xr:uid="{00000000-0002-0000-1100-00000A000000}">
      <formula1>$AV$2:$AV$22</formula1>
    </dataValidation>
    <dataValidation type="list" errorStyle="warning" showInputMessage="1" showErrorMessage="1" sqref="M16:M27" xr:uid="{00000000-0002-0000-1100-00000B000000}">
      <formula1>$AY$2:$AY$4</formula1>
    </dataValidation>
    <dataValidation type="list" errorStyle="warning" showInputMessage="1" showErrorMessage="1" sqref="AF16:AF27" xr:uid="{00000000-0002-0000-1100-00000C000000}">
      <formula1>$BA$2:$BA$5</formula1>
    </dataValidation>
    <dataValidation type="list" showInputMessage="1" showErrorMessage="1" sqref="U16:U27" xr:uid="{00000000-0002-0000-1100-00000E000000}">
      <formula1>$AZ$2:$AZ$6</formula1>
    </dataValidation>
  </dataValidations>
  <pageMargins left="0.7" right="0.7" top="0.75" bottom="0.75" header="0.3" footer="0.3"/>
  <pageSetup paperSize="9" scale="4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C18"/>
  <sheetViews>
    <sheetView topLeftCell="A8" workbookViewId="0">
      <selection activeCell="C11" sqref="C11"/>
    </sheetView>
  </sheetViews>
  <sheetFormatPr defaultColWidth="9" defaultRowHeight="13.5"/>
  <cols>
    <col min="1" max="1" width="14" customWidth="1"/>
    <col min="2" max="2" width="7.25" customWidth="1"/>
    <col min="3" max="3" width="76.125" customWidth="1"/>
  </cols>
  <sheetData>
    <row r="1" spans="1:3">
      <c r="A1" s="121" t="s">
        <v>250</v>
      </c>
      <c r="B1" s="122" t="s">
        <v>251</v>
      </c>
      <c r="C1" s="122" t="s">
        <v>164</v>
      </c>
    </row>
    <row r="2" spans="1:3">
      <c r="A2" s="1359">
        <v>44707</v>
      </c>
      <c r="B2" s="1360">
        <v>1</v>
      </c>
      <c r="C2" s="1361" t="s">
        <v>165</v>
      </c>
    </row>
    <row r="3" spans="1:3" ht="59.25" customHeight="1">
      <c r="A3" s="1359">
        <v>44799</v>
      </c>
      <c r="B3" s="1360">
        <v>1.01</v>
      </c>
      <c r="C3" s="1303" t="s">
        <v>1408</v>
      </c>
    </row>
    <row r="4" spans="1:3" ht="186" customHeight="1">
      <c r="A4" s="1359">
        <v>45069</v>
      </c>
      <c r="B4" s="1360">
        <v>2</v>
      </c>
      <c r="C4" s="1303" t="s">
        <v>1521</v>
      </c>
    </row>
    <row r="5" spans="1:3" ht="262.5" customHeight="1">
      <c r="A5" s="1359">
        <v>45436</v>
      </c>
      <c r="B5" s="1360">
        <v>3</v>
      </c>
      <c r="C5" s="1303" t="s">
        <v>1678</v>
      </c>
    </row>
    <row r="6" spans="1:3" ht="48" customHeight="1">
      <c r="A6" s="1359">
        <v>45446</v>
      </c>
      <c r="B6" s="1360">
        <v>3.01</v>
      </c>
      <c r="C6" s="1303" t="s">
        <v>1581</v>
      </c>
    </row>
    <row r="7" spans="1:3" ht="84" customHeight="1">
      <c r="A7" s="1359">
        <v>45498</v>
      </c>
      <c r="B7" s="1360">
        <v>3.02</v>
      </c>
      <c r="C7" s="1303" t="s">
        <v>1586</v>
      </c>
    </row>
    <row r="8" spans="1:3" ht="188.1" customHeight="1">
      <c r="A8" s="1359">
        <v>45748</v>
      </c>
      <c r="B8" s="1360">
        <v>4</v>
      </c>
      <c r="C8" s="1303" t="s">
        <v>1679</v>
      </c>
    </row>
    <row r="9" spans="1:3">
      <c r="A9" s="123">
        <v>45817</v>
      </c>
      <c r="B9" s="810">
        <v>4.01</v>
      </c>
      <c r="C9" s="126" t="s">
        <v>1684</v>
      </c>
    </row>
    <row r="10" spans="1:3">
      <c r="A10" s="123">
        <v>45870</v>
      </c>
      <c r="B10" s="810">
        <v>4.0199999999999996</v>
      </c>
      <c r="C10" s="126" t="s">
        <v>1685</v>
      </c>
    </row>
    <row r="11" spans="1:3">
      <c r="A11" s="123"/>
      <c r="B11" s="810"/>
      <c r="C11" s="126"/>
    </row>
    <row r="12" spans="1:3">
      <c r="A12" s="123"/>
      <c r="B12" s="810"/>
      <c r="C12" s="126"/>
    </row>
    <row r="13" spans="1:3">
      <c r="A13" s="123"/>
      <c r="B13" s="810"/>
      <c r="C13" s="126"/>
    </row>
    <row r="14" spans="1:3">
      <c r="A14" s="123"/>
      <c r="B14" s="810"/>
      <c r="C14" s="126"/>
    </row>
    <row r="15" spans="1:3">
      <c r="A15" s="123"/>
      <c r="B15" s="810"/>
      <c r="C15" s="126"/>
    </row>
    <row r="16" spans="1:3">
      <c r="A16" s="123"/>
      <c r="B16" s="810"/>
      <c r="C16" s="126"/>
    </row>
    <row r="17" spans="1:3" ht="14.25" thickBot="1">
      <c r="A17" s="123"/>
      <c r="B17" s="811"/>
      <c r="C17" s="127"/>
    </row>
    <row r="18" spans="1:3" ht="14.25" thickBot="1">
      <c r="A18" s="124"/>
      <c r="B18" s="812">
        <f>MAX(B2:B17)</f>
        <v>4.0199999999999996</v>
      </c>
      <c r="C18" s="125"/>
    </row>
  </sheetData>
  <phoneticPr fontId="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M83"/>
  <sheetViews>
    <sheetView workbookViewId="0">
      <selection activeCell="C26" sqref="C26:D26"/>
    </sheetView>
  </sheetViews>
  <sheetFormatPr defaultColWidth="9" defaultRowHeight="13.5"/>
  <cols>
    <col min="1" max="12" width="10.625" style="11" customWidth="1"/>
    <col min="13" max="13" width="10.625" customWidth="1"/>
    <col min="14" max="16384" width="9" style="11"/>
  </cols>
  <sheetData>
    <row r="1" spans="1:12" ht="28.5">
      <c r="A1" s="52" t="s">
        <v>406</v>
      </c>
      <c r="B1" s="52"/>
      <c r="C1" s="53"/>
      <c r="D1" s="53"/>
      <c r="E1" s="53"/>
      <c r="F1" s="53"/>
      <c r="G1" s="53"/>
      <c r="H1" s="53"/>
      <c r="I1" s="53"/>
      <c r="J1" s="53"/>
      <c r="K1" s="53"/>
      <c r="L1" s="53"/>
    </row>
    <row r="2" spans="1:12" ht="28.5">
      <c r="A2" s="54" t="s">
        <v>407</v>
      </c>
      <c r="B2" s="52"/>
      <c r="C2" s="53"/>
      <c r="D2" s="53"/>
      <c r="E2" s="53"/>
      <c r="F2" s="53"/>
      <c r="G2" s="53"/>
      <c r="H2" s="53"/>
      <c r="I2" s="53"/>
      <c r="J2" s="53"/>
      <c r="K2" s="53"/>
      <c r="L2" s="53"/>
    </row>
    <row r="3" spans="1:12">
      <c r="A3" s="1374">
        <v>2022</v>
      </c>
      <c r="B3" s="1375"/>
      <c r="C3" s="1372">
        <f>A3+1</f>
        <v>2023</v>
      </c>
      <c r="D3" s="1373"/>
      <c r="E3" s="1372">
        <f>C3+1</f>
        <v>2024</v>
      </c>
      <c r="F3" s="1373"/>
      <c r="G3" s="1372">
        <f>E3+1</f>
        <v>2025</v>
      </c>
      <c r="H3" s="1373"/>
      <c r="I3" s="1372">
        <f>G3+1</f>
        <v>2026</v>
      </c>
      <c r="J3" s="1373"/>
      <c r="K3" s="1372">
        <f>I3+1</f>
        <v>2027</v>
      </c>
      <c r="L3" s="1373"/>
    </row>
    <row r="4" spans="1:12">
      <c r="A4" s="55" t="s">
        <v>408</v>
      </c>
      <c r="B4" s="56" t="s">
        <v>409</v>
      </c>
      <c r="C4" s="57" t="str">
        <f>A4</f>
        <v>日付</v>
      </c>
      <c r="D4" s="58" t="str">
        <f>B4</f>
        <v>祝日名</v>
      </c>
      <c r="E4" s="57" t="str">
        <f t="shared" ref="E4:J4" si="0">C4</f>
        <v>日付</v>
      </c>
      <c r="F4" s="58" t="str">
        <f t="shared" si="0"/>
        <v>祝日名</v>
      </c>
      <c r="G4" s="57" t="str">
        <f t="shared" si="0"/>
        <v>日付</v>
      </c>
      <c r="H4" s="58" t="str">
        <f t="shared" si="0"/>
        <v>祝日名</v>
      </c>
      <c r="I4" s="57" t="str">
        <f t="shared" si="0"/>
        <v>日付</v>
      </c>
      <c r="J4" s="58" t="str">
        <f t="shared" si="0"/>
        <v>祝日名</v>
      </c>
      <c r="K4" s="57" t="str">
        <f t="shared" ref="K4" si="1">I4</f>
        <v>日付</v>
      </c>
      <c r="L4" s="58" t="str">
        <f t="shared" ref="L4" si="2">J4</f>
        <v>祝日名</v>
      </c>
    </row>
    <row r="5" spans="1:12">
      <c r="A5" s="59">
        <v>44562</v>
      </c>
      <c r="B5" s="60" t="s">
        <v>410</v>
      </c>
      <c r="C5" s="59">
        <v>44927</v>
      </c>
      <c r="D5" s="60" t="s">
        <v>410</v>
      </c>
      <c r="E5" s="59">
        <v>45292</v>
      </c>
      <c r="F5" s="60" t="s">
        <v>410</v>
      </c>
      <c r="G5" s="59">
        <v>45658</v>
      </c>
      <c r="H5" s="60" t="s">
        <v>410</v>
      </c>
      <c r="I5" s="59">
        <v>46023</v>
      </c>
      <c r="J5" s="60" t="s">
        <v>410</v>
      </c>
      <c r="K5" s="59"/>
      <c r="L5" s="60"/>
    </row>
    <row r="6" spans="1:12">
      <c r="A6" s="59">
        <v>44571</v>
      </c>
      <c r="B6" s="60" t="s">
        <v>411</v>
      </c>
      <c r="C6" s="59">
        <v>44928</v>
      </c>
      <c r="D6" s="60" t="s">
        <v>935</v>
      </c>
      <c r="E6" s="59">
        <v>45299</v>
      </c>
      <c r="F6" s="60" t="s">
        <v>411</v>
      </c>
      <c r="G6" s="59">
        <v>45670</v>
      </c>
      <c r="H6" s="60" t="s">
        <v>411</v>
      </c>
      <c r="I6" s="59">
        <v>46025</v>
      </c>
      <c r="J6" s="60" t="s">
        <v>1589</v>
      </c>
      <c r="K6" s="59"/>
      <c r="L6" s="60"/>
    </row>
    <row r="7" spans="1:12">
      <c r="A7" s="59">
        <v>44603</v>
      </c>
      <c r="B7" s="60" t="s">
        <v>412</v>
      </c>
      <c r="C7" s="59">
        <v>44935</v>
      </c>
      <c r="D7" s="60" t="s">
        <v>411</v>
      </c>
      <c r="E7" s="59">
        <v>45333</v>
      </c>
      <c r="F7" s="60" t="s">
        <v>412</v>
      </c>
      <c r="G7" s="59">
        <v>45699</v>
      </c>
      <c r="H7" s="60" t="s">
        <v>412</v>
      </c>
      <c r="I7" s="59">
        <v>46034</v>
      </c>
      <c r="J7" s="60" t="s">
        <v>411</v>
      </c>
      <c r="K7" s="59"/>
      <c r="L7" s="60"/>
    </row>
    <row r="8" spans="1:12">
      <c r="A8" s="59">
        <v>44615</v>
      </c>
      <c r="B8" s="60" t="s">
        <v>414</v>
      </c>
      <c r="C8" s="59">
        <v>44968</v>
      </c>
      <c r="D8" s="60" t="s">
        <v>412</v>
      </c>
      <c r="E8" s="59">
        <v>45334</v>
      </c>
      <c r="F8" s="60" t="s">
        <v>936</v>
      </c>
      <c r="G8" s="59">
        <v>45711</v>
      </c>
      <c r="H8" s="60" t="s">
        <v>414</v>
      </c>
      <c r="I8" s="59">
        <v>46064</v>
      </c>
      <c r="J8" s="60" t="s">
        <v>412</v>
      </c>
      <c r="K8" s="59"/>
      <c r="L8" s="60"/>
    </row>
    <row r="9" spans="1:12">
      <c r="A9" s="59">
        <v>44641</v>
      </c>
      <c r="B9" s="60" t="s">
        <v>413</v>
      </c>
      <c r="C9" s="59">
        <v>44980</v>
      </c>
      <c r="D9" s="60" t="s">
        <v>414</v>
      </c>
      <c r="E9" s="59">
        <v>45345</v>
      </c>
      <c r="F9" s="60" t="s">
        <v>414</v>
      </c>
      <c r="G9" s="59">
        <v>45712</v>
      </c>
      <c r="H9" s="60" t="s">
        <v>937</v>
      </c>
      <c r="I9" s="59">
        <v>46076</v>
      </c>
      <c r="J9" s="60" t="s">
        <v>414</v>
      </c>
      <c r="K9" s="59"/>
      <c r="L9" s="60"/>
    </row>
    <row r="10" spans="1:12">
      <c r="A10" s="59">
        <v>44680</v>
      </c>
      <c r="B10" s="60" t="s">
        <v>415</v>
      </c>
      <c r="C10" s="59">
        <v>45006</v>
      </c>
      <c r="D10" s="60" t="s">
        <v>413</v>
      </c>
      <c r="E10" s="59">
        <v>45371</v>
      </c>
      <c r="F10" s="60" t="s">
        <v>413</v>
      </c>
      <c r="G10" s="59">
        <v>45736</v>
      </c>
      <c r="H10" s="60" t="s">
        <v>413</v>
      </c>
      <c r="I10" s="59">
        <v>46101</v>
      </c>
      <c r="J10" s="60" t="s">
        <v>413</v>
      </c>
      <c r="K10" s="59"/>
      <c r="L10" s="60"/>
    </row>
    <row r="11" spans="1:12">
      <c r="A11" s="59">
        <v>44684</v>
      </c>
      <c r="B11" s="60" t="s">
        <v>416</v>
      </c>
      <c r="C11" s="59">
        <v>45045</v>
      </c>
      <c r="D11" s="60" t="s">
        <v>415</v>
      </c>
      <c r="E11" s="59">
        <v>45411</v>
      </c>
      <c r="F11" s="60" t="s">
        <v>415</v>
      </c>
      <c r="G11" s="59">
        <v>45776</v>
      </c>
      <c r="H11" s="60" t="s">
        <v>415</v>
      </c>
      <c r="I11" s="59">
        <v>46141</v>
      </c>
      <c r="J11" s="60" t="s">
        <v>415</v>
      </c>
      <c r="K11" s="59"/>
      <c r="L11" s="60"/>
    </row>
    <row r="12" spans="1:12">
      <c r="A12" s="59">
        <v>44685</v>
      </c>
      <c r="B12" s="60" t="s">
        <v>417</v>
      </c>
      <c r="C12" s="59">
        <v>45049</v>
      </c>
      <c r="D12" s="60" t="s">
        <v>416</v>
      </c>
      <c r="E12" s="59">
        <v>45415</v>
      </c>
      <c r="F12" s="60" t="s">
        <v>416</v>
      </c>
      <c r="G12" s="59">
        <v>45780</v>
      </c>
      <c r="H12" s="60" t="s">
        <v>416</v>
      </c>
      <c r="I12" s="59">
        <v>46145</v>
      </c>
      <c r="J12" s="60" t="s">
        <v>416</v>
      </c>
      <c r="K12" s="59"/>
      <c r="L12" s="60"/>
    </row>
    <row r="13" spans="1:12">
      <c r="A13" s="59">
        <v>44686</v>
      </c>
      <c r="B13" s="60" t="s">
        <v>418</v>
      </c>
      <c r="C13" s="59">
        <v>45050</v>
      </c>
      <c r="D13" s="60" t="s">
        <v>417</v>
      </c>
      <c r="E13" s="59">
        <v>45416</v>
      </c>
      <c r="F13" s="60" t="s">
        <v>417</v>
      </c>
      <c r="G13" s="59">
        <v>45781</v>
      </c>
      <c r="H13" s="60" t="s">
        <v>417</v>
      </c>
      <c r="I13" s="59">
        <v>46146</v>
      </c>
      <c r="J13" s="60" t="s">
        <v>417</v>
      </c>
      <c r="K13" s="59"/>
      <c r="L13" s="60"/>
    </row>
    <row r="14" spans="1:12">
      <c r="A14" s="59">
        <v>44760</v>
      </c>
      <c r="B14" s="60" t="s">
        <v>419</v>
      </c>
      <c r="C14" s="59">
        <v>45051</v>
      </c>
      <c r="D14" s="60" t="s">
        <v>418</v>
      </c>
      <c r="E14" s="59">
        <v>45417</v>
      </c>
      <c r="F14" s="60" t="s">
        <v>418</v>
      </c>
      <c r="G14" s="59">
        <v>45782</v>
      </c>
      <c r="H14" s="60" t="s">
        <v>418</v>
      </c>
      <c r="I14" s="59">
        <v>46147</v>
      </c>
      <c r="J14" s="60" t="s">
        <v>418</v>
      </c>
      <c r="K14" s="59"/>
      <c r="L14" s="60"/>
    </row>
    <row r="15" spans="1:12">
      <c r="A15" s="59">
        <v>44784</v>
      </c>
      <c r="B15" s="60" t="s">
        <v>420</v>
      </c>
      <c r="C15" s="59">
        <v>45124</v>
      </c>
      <c r="D15" s="60" t="s">
        <v>419</v>
      </c>
      <c r="E15" s="59">
        <v>45418</v>
      </c>
      <c r="F15" s="60" t="s">
        <v>938</v>
      </c>
      <c r="G15" s="59">
        <v>45783</v>
      </c>
      <c r="H15" s="60" t="s">
        <v>939</v>
      </c>
      <c r="I15" s="59">
        <v>46148</v>
      </c>
      <c r="J15" s="60" t="s">
        <v>1590</v>
      </c>
      <c r="K15" s="59"/>
      <c r="L15" s="60"/>
    </row>
    <row r="16" spans="1:12">
      <c r="A16" s="59">
        <v>44823</v>
      </c>
      <c r="B16" s="60" t="s">
        <v>940</v>
      </c>
      <c r="C16" s="59">
        <v>45149</v>
      </c>
      <c r="D16" s="60" t="s">
        <v>420</v>
      </c>
      <c r="E16" s="59">
        <v>45488</v>
      </c>
      <c r="F16" s="60" t="s">
        <v>941</v>
      </c>
      <c r="G16" s="59">
        <v>45859</v>
      </c>
      <c r="H16" s="60" t="s">
        <v>941</v>
      </c>
      <c r="I16" s="59">
        <v>46223</v>
      </c>
      <c r="J16" s="60" t="s">
        <v>941</v>
      </c>
      <c r="K16" s="59"/>
      <c r="L16" s="60"/>
    </row>
    <row r="17" spans="1:12">
      <c r="A17" s="59">
        <v>44827</v>
      </c>
      <c r="B17" s="60" t="s">
        <v>423</v>
      </c>
      <c r="C17" s="59">
        <v>45187</v>
      </c>
      <c r="D17" s="60" t="s">
        <v>421</v>
      </c>
      <c r="E17" s="59">
        <v>45515</v>
      </c>
      <c r="F17" s="60" t="s">
        <v>942</v>
      </c>
      <c r="G17" s="59">
        <v>45880</v>
      </c>
      <c r="H17" s="60" t="s">
        <v>942</v>
      </c>
      <c r="I17" s="59">
        <v>46245</v>
      </c>
      <c r="J17" s="60" t="s">
        <v>942</v>
      </c>
      <c r="K17" s="59"/>
      <c r="L17" s="60"/>
    </row>
    <row r="18" spans="1:12">
      <c r="A18" s="59">
        <v>44844</v>
      </c>
      <c r="B18" s="60" t="s">
        <v>422</v>
      </c>
      <c r="C18" s="59">
        <v>45192</v>
      </c>
      <c r="D18" s="60" t="s">
        <v>423</v>
      </c>
      <c r="E18" s="59">
        <v>45516</v>
      </c>
      <c r="F18" s="60" t="s">
        <v>943</v>
      </c>
      <c r="G18" s="59">
        <v>45915</v>
      </c>
      <c r="H18" s="60" t="s">
        <v>940</v>
      </c>
      <c r="I18" s="59">
        <v>46286</v>
      </c>
      <c r="J18" s="60" t="s">
        <v>940</v>
      </c>
      <c r="K18" s="59"/>
      <c r="L18" s="60"/>
    </row>
    <row r="19" spans="1:12">
      <c r="A19" s="59">
        <v>44868</v>
      </c>
      <c r="B19" s="60" t="s">
        <v>424</v>
      </c>
      <c r="C19" s="59">
        <v>45208</v>
      </c>
      <c r="D19" s="60" t="s">
        <v>422</v>
      </c>
      <c r="E19" s="59">
        <v>45551</v>
      </c>
      <c r="F19" s="60" t="s">
        <v>940</v>
      </c>
      <c r="G19" s="59">
        <v>45923</v>
      </c>
      <c r="H19" s="60" t="s">
        <v>944</v>
      </c>
      <c r="I19" s="59">
        <v>46287</v>
      </c>
      <c r="J19" s="60" t="s">
        <v>1591</v>
      </c>
      <c r="K19" s="59"/>
      <c r="L19" s="60"/>
    </row>
    <row r="20" spans="1:12">
      <c r="A20" s="59">
        <v>44888</v>
      </c>
      <c r="B20" s="60" t="s">
        <v>425</v>
      </c>
      <c r="C20" s="59">
        <v>45233</v>
      </c>
      <c r="D20" s="60" t="s">
        <v>424</v>
      </c>
      <c r="E20" s="59">
        <v>45557</v>
      </c>
      <c r="F20" s="60" t="s">
        <v>944</v>
      </c>
      <c r="G20" s="59">
        <v>45943</v>
      </c>
      <c r="H20" s="60" t="s">
        <v>422</v>
      </c>
      <c r="I20" s="59">
        <v>46288</v>
      </c>
      <c r="J20" s="60" t="s">
        <v>944</v>
      </c>
      <c r="K20" s="59"/>
      <c r="L20" s="60"/>
    </row>
    <row r="21" spans="1:12">
      <c r="A21" s="1158">
        <v>44926</v>
      </c>
      <c r="B21" s="1159" t="s">
        <v>1360</v>
      </c>
      <c r="C21" s="59">
        <v>45253</v>
      </c>
      <c r="D21" s="60" t="s">
        <v>425</v>
      </c>
      <c r="E21" s="59">
        <v>45558</v>
      </c>
      <c r="F21" s="60" t="s">
        <v>945</v>
      </c>
      <c r="G21" s="59">
        <v>45964</v>
      </c>
      <c r="H21" s="60" t="s">
        <v>424</v>
      </c>
      <c r="I21" s="59">
        <v>46307</v>
      </c>
      <c r="J21" s="60" t="s">
        <v>422</v>
      </c>
      <c r="K21" s="59"/>
      <c r="L21" s="60"/>
    </row>
    <row r="22" spans="1:12">
      <c r="A22" s="59"/>
      <c r="B22" s="60"/>
      <c r="C22" s="1158">
        <v>45290</v>
      </c>
      <c r="D22" s="1159" t="s">
        <v>1360</v>
      </c>
      <c r="E22" s="59">
        <v>45579</v>
      </c>
      <c r="F22" s="60" t="s">
        <v>946</v>
      </c>
      <c r="G22" s="59">
        <v>45984</v>
      </c>
      <c r="H22" s="60" t="s">
        <v>425</v>
      </c>
      <c r="I22" s="59">
        <v>46329</v>
      </c>
      <c r="J22" s="60" t="s">
        <v>424</v>
      </c>
      <c r="K22" s="59"/>
      <c r="L22" s="60"/>
    </row>
    <row r="23" spans="1:12">
      <c r="A23" s="59"/>
      <c r="B23" s="60"/>
      <c r="C23" s="59"/>
      <c r="D23" s="60"/>
      <c r="E23" s="59">
        <v>45599</v>
      </c>
      <c r="F23" s="60" t="s">
        <v>947</v>
      </c>
      <c r="G23" s="59">
        <v>45985</v>
      </c>
      <c r="H23" s="60" t="s">
        <v>948</v>
      </c>
      <c r="I23" s="59">
        <v>46349</v>
      </c>
      <c r="J23" s="60" t="s">
        <v>425</v>
      </c>
      <c r="K23" s="59"/>
      <c r="L23" s="60"/>
    </row>
    <row r="24" spans="1:12">
      <c r="A24" s="59"/>
      <c r="B24" s="60"/>
      <c r="C24" s="59"/>
      <c r="D24" s="60"/>
      <c r="E24" s="59">
        <v>45600</v>
      </c>
      <c r="F24" s="60" t="s">
        <v>949</v>
      </c>
      <c r="G24" s="59"/>
      <c r="H24" s="60"/>
      <c r="I24" s="59"/>
      <c r="J24" s="60"/>
      <c r="K24" s="59"/>
      <c r="L24" s="60"/>
    </row>
    <row r="25" spans="1:12">
      <c r="A25" s="59"/>
      <c r="B25" s="60"/>
      <c r="C25" s="59"/>
      <c r="D25" s="60"/>
      <c r="E25" s="59">
        <v>45619</v>
      </c>
      <c r="F25" s="60" t="s">
        <v>950</v>
      </c>
      <c r="G25" s="59"/>
      <c r="H25" s="60"/>
      <c r="I25" s="59"/>
      <c r="J25" s="60"/>
      <c r="K25" s="59"/>
      <c r="L25" s="60"/>
    </row>
    <row r="26" spans="1:12">
      <c r="A26" s="59"/>
      <c r="B26" s="60"/>
      <c r="C26" s="59"/>
      <c r="D26" s="60"/>
      <c r="E26" s="59"/>
      <c r="F26" s="60"/>
      <c r="G26" s="59"/>
      <c r="H26" s="60"/>
      <c r="I26" s="59"/>
      <c r="J26" s="60"/>
      <c r="K26" s="59"/>
      <c r="L26" s="60"/>
    </row>
    <row r="27" spans="1:12">
      <c r="A27" s="59"/>
      <c r="B27" s="60"/>
      <c r="C27" s="59"/>
      <c r="D27" s="60"/>
      <c r="E27" s="59"/>
      <c r="F27" s="60"/>
      <c r="G27" s="59"/>
      <c r="H27" s="60"/>
      <c r="I27" s="59"/>
      <c r="J27" s="60"/>
      <c r="K27" s="59"/>
      <c r="L27" s="60"/>
    </row>
    <row r="28" spans="1:12">
      <c r="A28" s="59"/>
      <c r="B28" s="60"/>
      <c r="C28" s="59"/>
      <c r="D28" s="60"/>
      <c r="E28" s="59"/>
      <c r="F28" s="60"/>
      <c r="G28" s="59"/>
      <c r="H28" s="60"/>
      <c r="I28" s="59"/>
      <c r="J28" s="60"/>
      <c r="K28" s="59"/>
      <c r="L28" s="60"/>
    </row>
    <row r="29" spans="1:12">
      <c r="A29" s="59"/>
      <c r="B29" s="60"/>
      <c r="C29" s="59"/>
      <c r="D29" s="60"/>
      <c r="E29" s="59"/>
      <c r="F29" s="60"/>
      <c r="G29" s="59"/>
      <c r="H29" s="60"/>
      <c r="I29" s="59"/>
      <c r="J29" s="60"/>
      <c r="K29" s="59"/>
      <c r="L29" s="60"/>
    </row>
    <row r="30" spans="1:12">
      <c r="A30" s="59"/>
      <c r="B30" s="60"/>
      <c r="C30" s="59"/>
      <c r="D30" s="60"/>
      <c r="E30" s="59"/>
      <c r="F30" s="60"/>
      <c r="G30" s="59"/>
      <c r="H30" s="60"/>
      <c r="I30" s="59"/>
      <c r="J30" s="60"/>
      <c r="K30" s="59"/>
      <c r="L30" s="60"/>
    </row>
    <row r="31" spans="1:12">
      <c r="A31" s="59"/>
      <c r="B31" s="60"/>
      <c r="C31" s="59"/>
      <c r="D31" s="60"/>
      <c r="E31" s="59"/>
      <c r="F31" s="60"/>
      <c r="G31" s="59"/>
      <c r="H31" s="60"/>
      <c r="I31" s="59"/>
      <c r="J31" s="60"/>
      <c r="K31" s="59"/>
      <c r="L31" s="60"/>
    </row>
    <row r="32" spans="1:12">
      <c r="A32" s="59"/>
      <c r="B32" s="60"/>
      <c r="C32" s="59"/>
      <c r="D32" s="60"/>
      <c r="E32" s="59"/>
      <c r="F32" s="60"/>
      <c r="G32" s="59"/>
      <c r="H32" s="60"/>
      <c r="I32" s="59"/>
      <c r="J32" s="60"/>
      <c r="K32" s="59"/>
      <c r="L32" s="60"/>
    </row>
    <row r="34" spans="3:3">
      <c r="C34" s="61"/>
    </row>
    <row r="35" spans="3:3">
      <c r="C35" s="61"/>
    </row>
    <row r="36" spans="3:3">
      <c r="C36" s="61"/>
    </row>
    <row r="37" spans="3:3">
      <c r="C37" s="61"/>
    </row>
    <row r="38" spans="3:3">
      <c r="C38" s="61"/>
    </row>
    <row r="39" spans="3:3">
      <c r="C39" s="61"/>
    </row>
    <row r="40" spans="3:3">
      <c r="C40" s="61"/>
    </row>
    <row r="41" spans="3:3">
      <c r="C41" s="61"/>
    </row>
    <row r="42" spans="3:3">
      <c r="C42" s="61"/>
    </row>
    <row r="43" spans="3:3">
      <c r="C43" s="61"/>
    </row>
    <row r="44" spans="3:3">
      <c r="C44" s="61"/>
    </row>
    <row r="45" spans="3:3">
      <c r="C45" s="61"/>
    </row>
    <row r="46" spans="3:3">
      <c r="C46" s="61"/>
    </row>
    <row r="47" spans="3:3">
      <c r="C47" s="61"/>
    </row>
    <row r="48" spans="3:3">
      <c r="C48" s="61"/>
    </row>
    <row r="49" spans="3:3">
      <c r="C49" s="61"/>
    </row>
    <row r="50" spans="3:3">
      <c r="C50" s="61"/>
    </row>
    <row r="51" spans="3:3">
      <c r="C51" s="61"/>
    </row>
    <row r="52" spans="3:3">
      <c r="C52" s="61"/>
    </row>
    <row r="53" spans="3:3">
      <c r="C53" s="61"/>
    </row>
    <row r="54" spans="3:3">
      <c r="C54" s="61"/>
    </row>
    <row r="55" spans="3:3">
      <c r="C55" s="61"/>
    </row>
    <row r="56" spans="3:3">
      <c r="C56" s="61"/>
    </row>
    <row r="57" spans="3:3">
      <c r="C57" s="61"/>
    </row>
    <row r="58" spans="3:3">
      <c r="C58" s="61"/>
    </row>
    <row r="59" spans="3:3">
      <c r="C59" s="61"/>
    </row>
    <row r="60" spans="3:3">
      <c r="C60" s="61"/>
    </row>
    <row r="61" spans="3:3">
      <c r="C61" s="61"/>
    </row>
    <row r="62" spans="3:3">
      <c r="C62" s="61"/>
    </row>
    <row r="63" spans="3:3">
      <c r="C63" s="61"/>
    </row>
    <row r="64" spans="3:3">
      <c r="C64" s="61"/>
    </row>
    <row r="65" spans="3:3">
      <c r="C65" s="61"/>
    </row>
    <row r="66" spans="3:3">
      <c r="C66" s="61"/>
    </row>
    <row r="67" spans="3:3">
      <c r="C67" s="61"/>
    </row>
    <row r="68" spans="3:3">
      <c r="C68" s="61"/>
    </row>
    <row r="69" spans="3:3">
      <c r="C69" s="61"/>
    </row>
    <row r="70" spans="3:3">
      <c r="C70" s="61"/>
    </row>
    <row r="71" spans="3:3">
      <c r="C71" s="61"/>
    </row>
    <row r="72" spans="3:3">
      <c r="C72" s="61"/>
    </row>
    <row r="73" spans="3:3">
      <c r="C73" s="61"/>
    </row>
    <row r="74" spans="3:3">
      <c r="C74" s="61"/>
    </row>
    <row r="75" spans="3:3">
      <c r="C75" s="61"/>
    </row>
    <row r="76" spans="3:3">
      <c r="C76" s="61"/>
    </row>
    <row r="77" spans="3:3">
      <c r="C77" s="61"/>
    </row>
    <row r="78" spans="3:3">
      <c r="C78" s="61"/>
    </row>
    <row r="79" spans="3:3">
      <c r="C79" s="61"/>
    </row>
    <row r="80" spans="3:3">
      <c r="C80" s="61"/>
    </row>
    <row r="81" spans="3:3">
      <c r="C81" s="61"/>
    </row>
    <row r="82" spans="3:3">
      <c r="C82" s="61"/>
    </row>
    <row r="83" spans="3:3">
      <c r="C83" s="61"/>
    </row>
  </sheetData>
  <sheetProtection algorithmName="SHA-512" hashValue="JN4UZk8lsziq9ZAZL2kuntpa2rSV1GeQ42x+VnvpGEq6GBHjSpKmVrKh5tVbiMSjEgj/fqHkp0/l1g/rgHkLjw==" saltValue="7vw/mRq+I5vgXnIbtmnZLg==" spinCount="100000" sheet="1" objects="1" scenarios="1" selectLockedCells="1"/>
  <mergeCells count="6">
    <mergeCell ref="K3:L3"/>
    <mergeCell ref="A3:B3"/>
    <mergeCell ref="C3:D3"/>
    <mergeCell ref="E3:F3"/>
    <mergeCell ref="G3:H3"/>
    <mergeCell ref="I3:J3"/>
  </mergeCells>
  <phoneticPr fontId="1"/>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1"/>
    <pageSetUpPr fitToPage="1"/>
  </sheetPr>
  <dimension ref="B1:G47"/>
  <sheetViews>
    <sheetView view="pageBreakPreview" zoomScale="85" zoomScaleNormal="85" zoomScaleSheetLayoutView="85" workbookViewId="0"/>
  </sheetViews>
  <sheetFormatPr defaultRowHeight="24" customHeight="1"/>
  <cols>
    <col min="1" max="1" width="3.25" style="1163" customWidth="1"/>
    <col min="2" max="2" width="18.375" style="1163" customWidth="1"/>
    <col min="3" max="3" width="69.5" style="1173" customWidth="1"/>
    <col min="4" max="4" width="48.375" style="1163" customWidth="1"/>
    <col min="5" max="5" width="11.875" style="1163" customWidth="1"/>
    <col min="6" max="6" width="17.125" style="1163" customWidth="1"/>
    <col min="7" max="7" width="68.125" style="1163" customWidth="1"/>
    <col min="8" max="12" width="17.125" style="1163" customWidth="1"/>
    <col min="13" max="247" width="9" style="1163"/>
    <col min="248" max="248" width="30.5" style="1163" customWidth="1"/>
    <col min="249" max="249" width="43.75" style="1163" customWidth="1"/>
    <col min="250" max="252" width="9" style="1163"/>
    <col min="253" max="253" width="21.875" style="1163" customWidth="1"/>
    <col min="254" max="255" width="9" style="1163"/>
    <col min="256" max="257" width="9" style="1163" customWidth="1"/>
    <col min="258" max="503" width="9" style="1163"/>
    <col min="504" max="504" width="30.5" style="1163" customWidth="1"/>
    <col min="505" max="505" width="43.75" style="1163" customWidth="1"/>
    <col min="506" max="508" width="9" style="1163"/>
    <col min="509" max="509" width="21.875" style="1163" customWidth="1"/>
    <col min="510" max="511" width="9" style="1163"/>
    <col min="512" max="513" width="9" style="1163" customWidth="1"/>
    <col min="514" max="759" width="9" style="1163"/>
    <col min="760" max="760" width="30.5" style="1163" customWidth="1"/>
    <col min="761" max="761" width="43.75" style="1163" customWidth="1"/>
    <col min="762" max="764" width="9" style="1163"/>
    <col min="765" max="765" width="21.875" style="1163" customWidth="1"/>
    <col min="766" max="767" width="9" style="1163"/>
    <col min="768" max="769" width="9" style="1163" customWidth="1"/>
    <col min="770" max="1015" width="9" style="1163"/>
    <col min="1016" max="1016" width="30.5" style="1163" customWidth="1"/>
    <col min="1017" max="1017" width="43.75" style="1163" customWidth="1"/>
    <col min="1018" max="1020" width="9" style="1163"/>
    <col min="1021" max="1021" width="21.875" style="1163" customWidth="1"/>
    <col min="1022" max="1023" width="9" style="1163"/>
    <col min="1024" max="1025" width="9" style="1163" customWidth="1"/>
    <col min="1026" max="1271" width="9" style="1163"/>
    <col min="1272" max="1272" width="30.5" style="1163" customWidth="1"/>
    <col min="1273" max="1273" width="43.75" style="1163" customWidth="1"/>
    <col min="1274" max="1276" width="9" style="1163"/>
    <col min="1277" max="1277" width="21.875" style="1163" customWidth="1"/>
    <col min="1278" max="1279" width="9" style="1163"/>
    <col min="1280" max="1281" width="9" style="1163" customWidth="1"/>
    <col min="1282" max="1527" width="9" style="1163"/>
    <col min="1528" max="1528" width="30.5" style="1163" customWidth="1"/>
    <col min="1529" max="1529" width="43.75" style="1163" customWidth="1"/>
    <col min="1530" max="1532" width="9" style="1163"/>
    <col min="1533" max="1533" width="21.875" style="1163" customWidth="1"/>
    <col min="1534" max="1535" width="9" style="1163"/>
    <col min="1536" max="1537" width="9" style="1163" customWidth="1"/>
    <col min="1538" max="1783" width="9" style="1163"/>
    <col min="1784" max="1784" width="30.5" style="1163" customWidth="1"/>
    <col min="1785" max="1785" width="43.75" style="1163" customWidth="1"/>
    <col min="1786" max="1788" width="9" style="1163"/>
    <col min="1789" max="1789" width="21.875" style="1163" customWidth="1"/>
    <col min="1790" max="1791" width="9" style="1163"/>
    <col min="1792" max="1793" width="9" style="1163" customWidth="1"/>
    <col min="1794" max="2039" width="9" style="1163"/>
    <col min="2040" max="2040" width="30.5" style="1163" customWidth="1"/>
    <col min="2041" max="2041" width="43.75" style="1163" customWidth="1"/>
    <col min="2042" max="2044" width="9" style="1163"/>
    <col min="2045" max="2045" width="21.875" style="1163" customWidth="1"/>
    <col min="2046" max="2047" width="9" style="1163"/>
    <col min="2048" max="2049" width="9" style="1163" customWidth="1"/>
    <col min="2050" max="2295" width="9" style="1163"/>
    <col min="2296" max="2296" width="30.5" style="1163" customWidth="1"/>
    <col min="2297" max="2297" width="43.75" style="1163" customWidth="1"/>
    <col min="2298" max="2300" width="9" style="1163"/>
    <col min="2301" max="2301" width="21.875" style="1163" customWidth="1"/>
    <col min="2302" max="2303" width="9" style="1163"/>
    <col min="2304" max="2305" width="9" style="1163" customWidth="1"/>
    <col min="2306" max="2551" width="9" style="1163"/>
    <col min="2552" max="2552" width="30.5" style="1163" customWidth="1"/>
    <col min="2553" max="2553" width="43.75" style="1163" customWidth="1"/>
    <col min="2554" max="2556" width="9" style="1163"/>
    <col min="2557" max="2557" width="21.875" style="1163" customWidth="1"/>
    <col min="2558" max="2559" width="9" style="1163"/>
    <col min="2560" max="2561" width="9" style="1163" customWidth="1"/>
    <col min="2562" max="2807" width="9" style="1163"/>
    <col min="2808" max="2808" width="30.5" style="1163" customWidth="1"/>
    <col min="2809" max="2809" width="43.75" style="1163" customWidth="1"/>
    <col min="2810" max="2812" width="9" style="1163"/>
    <col min="2813" max="2813" width="21.875" style="1163" customWidth="1"/>
    <col min="2814" max="2815" width="9" style="1163"/>
    <col min="2816" max="2817" width="9" style="1163" customWidth="1"/>
    <col min="2818" max="3063" width="9" style="1163"/>
    <col min="3064" max="3064" width="30.5" style="1163" customWidth="1"/>
    <col min="3065" max="3065" width="43.75" style="1163" customWidth="1"/>
    <col min="3066" max="3068" width="9" style="1163"/>
    <col min="3069" max="3069" width="21.875" style="1163" customWidth="1"/>
    <col min="3070" max="3071" width="9" style="1163"/>
    <col min="3072" max="3073" width="9" style="1163" customWidth="1"/>
    <col min="3074" max="3319" width="9" style="1163"/>
    <col min="3320" max="3320" width="30.5" style="1163" customWidth="1"/>
    <col min="3321" max="3321" width="43.75" style="1163" customWidth="1"/>
    <col min="3322" max="3324" width="9" style="1163"/>
    <col min="3325" max="3325" width="21.875" style="1163" customWidth="1"/>
    <col min="3326" max="3327" width="9" style="1163"/>
    <col min="3328" max="3329" width="9" style="1163" customWidth="1"/>
    <col min="3330" max="3575" width="9" style="1163"/>
    <col min="3576" max="3576" width="30.5" style="1163" customWidth="1"/>
    <col min="3577" max="3577" width="43.75" style="1163" customWidth="1"/>
    <col min="3578" max="3580" width="9" style="1163"/>
    <col min="3581" max="3581" width="21.875" style="1163" customWidth="1"/>
    <col min="3582" max="3583" width="9" style="1163"/>
    <col min="3584" max="3585" width="9" style="1163" customWidth="1"/>
    <col min="3586" max="3831" width="9" style="1163"/>
    <col min="3832" max="3832" width="30.5" style="1163" customWidth="1"/>
    <col min="3833" max="3833" width="43.75" style="1163" customWidth="1"/>
    <col min="3834" max="3836" width="9" style="1163"/>
    <col min="3837" max="3837" width="21.875" style="1163" customWidth="1"/>
    <col min="3838" max="3839" width="9" style="1163"/>
    <col min="3840" max="3841" width="9" style="1163" customWidth="1"/>
    <col min="3842" max="4087" width="9" style="1163"/>
    <col min="4088" max="4088" width="30.5" style="1163" customWidth="1"/>
    <col min="4089" max="4089" width="43.75" style="1163" customWidth="1"/>
    <col min="4090" max="4092" width="9" style="1163"/>
    <col min="4093" max="4093" width="21.875" style="1163" customWidth="1"/>
    <col min="4094" max="4095" width="9" style="1163"/>
    <col min="4096" max="4097" width="9" style="1163" customWidth="1"/>
    <col min="4098" max="4343" width="9" style="1163"/>
    <col min="4344" max="4344" width="30.5" style="1163" customWidth="1"/>
    <col min="4345" max="4345" width="43.75" style="1163" customWidth="1"/>
    <col min="4346" max="4348" width="9" style="1163"/>
    <col min="4349" max="4349" width="21.875" style="1163" customWidth="1"/>
    <col min="4350" max="4351" width="9" style="1163"/>
    <col min="4352" max="4353" width="9" style="1163" customWidth="1"/>
    <col min="4354" max="4599" width="9" style="1163"/>
    <col min="4600" max="4600" width="30.5" style="1163" customWidth="1"/>
    <col min="4601" max="4601" width="43.75" style="1163" customWidth="1"/>
    <col min="4602" max="4604" width="9" style="1163"/>
    <col min="4605" max="4605" width="21.875" style="1163" customWidth="1"/>
    <col min="4606" max="4607" width="9" style="1163"/>
    <col min="4608" max="4609" width="9" style="1163" customWidth="1"/>
    <col min="4610" max="4855" width="9" style="1163"/>
    <col min="4856" max="4856" width="30.5" style="1163" customWidth="1"/>
    <col min="4857" max="4857" width="43.75" style="1163" customWidth="1"/>
    <col min="4858" max="4860" width="9" style="1163"/>
    <col min="4861" max="4861" width="21.875" style="1163" customWidth="1"/>
    <col min="4862" max="4863" width="9" style="1163"/>
    <col min="4864" max="4865" width="9" style="1163" customWidth="1"/>
    <col min="4866" max="5111" width="9" style="1163"/>
    <col min="5112" max="5112" width="30.5" style="1163" customWidth="1"/>
    <col min="5113" max="5113" width="43.75" style="1163" customWidth="1"/>
    <col min="5114" max="5116" width="9" style="1163"/>
    <col min="5117" max="5117" width="21.875" style="1163" customWidth="1"/>
    <col min="5118" max="5119" width="9" style="1163"/>
    <col min="5120" max="5121" width="9" style="1163" customWidth="1"/>
    <col min="5122" max="5367" width="9" style="1163"/>
    <col min="5368" max="5368" width="30.5" style="1163" customWidth="1"/>
    <col min="5369" max="5369" width="43.75" style="1163" customWidth="1"/>
    <col min="5370" max="5372" width="9" style="1163"/>
    <col min="5373" max="5373" width="21.875" style="1163" customWidth="1"/>
    <col min="5374" max="5375" width="9" style="1163"/>
    <col min="5376" max="5377" width="9" style="1163" customWidth="1"/>
    <col min="5378" max="5623" width="9" style="1163"/>
    <col min="5624" max="5624" width="30.5" style="1163" customWidth="1"/>
    <col min="5625" max="5625" width="43.75" style="1163" customWidth="1"/>
    <col min="5626" max="5628" width="9" style="1163"/>
    <col min="5629" max="5629" width="21.875" style="1163" customWidth="1"/>
    <col min="5630" max="5631" width="9" style="1163"/>
    <col min="5632" max="5633" width="9" style="1163" customWidth="1"/>
    <col min="5634" max="5879" width="9" style="1163"/>
    <col min="5880" max="5880" width="30.5" style="1163" customWidth="1"/>
    <col min="5881" max="5881" width="43.75" style="1163" customWidth="1"/>
    <col min="5882" max="5884" width="9" style="1163"/>
    <col min="5885" max="5885" width="21.875" style="1163" customWidth="1"/>
    <col min="5886" max="5887" width="9" style="1163"/>
    <col min="5888" max="5889" width="9" style="1163" customWidth="1"/>
    <col min="5890" max="6135" width="9" style="1163"/>
    <col min="6136" max="6136" width="30.5" style="1163" customWidth="1"/>
    <col min="6137" max="6137" width="43.75" style="1163" customWidth="1"/>
    <col min="6138" max="6140" width="9" style="1163"/>
    <col min="6141" max="6141" width="21.875" style="1163" customWidth="1"/>
    <col min="6142" max="6143" width="9" style="1163"/>
    <col min="6144" max="6145" width="9" style="1163" customWidth="1"/>
    <col min="6146" max="6391" width="9" style="1163"/>
    <col min="6392" max="6392" width="30.5" style="1163" customWidth="1"/>
    <col min="6393" max="6393" width="43.75" style="1163" customWidth="1"/>
    <col min="6394" max="6396" width="9" style="1163"/>
    <col min="6397" max="6397" width="21.875" style="1163" customWidth="1"/>
    <col min="6398" max="6399" width="9" style="1163"/>
    <col min="6400" max="6401" width="9" style="1163" customWidth="1"/>
    <col min="6402" max="6647" width="9" style="1163"/>
    <col min="6648" max="6648" width="30.5" style="1163" customWidth="1"/>
    <col min="6649" max="6649" width="43.75" style="1163" customWidth="1"/>
    <col min="6650" max="6652" width="9" style="1163"/>
    <col min="6653" max="6653" width="21.875" style="1163" customWidth="1"/>
    <col min="6654" max="6655" width="9" style="1163"/>
    <col min="6656" max="6657" width="9" style="1163" customWidth="1"/>
    <col min="6658" max="6903" width="9" style="1163"/>
    <col min="6904" max="6904" width="30.5" style="1163" customWidth="1"/>
    <col min="6905" max="6905" width="43.75" style="1163" customWidth="1"/>
    <col min="6906" max="6908" width="9" style="1163"/>
    <col min="6909" max="6909" width="21.875" style="1163" customWidth="1"/>
    <col min="6910" max="6911" width="9" style="1163"/>
    <col min="6912" max="6913" width="9" style="1163" customWidth="1"/>
    <col min="6914" max="7159" width="9" style="1163"/>
    <col min="7160" max="7160" width="30.5" style="1163" customWidth="1"/>
    <col min="7161" max="7161" width="43.75" style="1163" customWidth="1"/>
    <col min="7162" max="7164" width="9" style="1163"/>
    <col min="7165" max="7165" width="21.875" style="1163" customWidth="1"/>
    <col min="7166" max="7167" width="9" style="1163"/>
    <col min="7168" max="7169" width="9" style="1163" customWidth="1"/>
    <col min="7170" max="7415" width="9" style="1163"/>
    <col min="7416" max="7416" width="30.5" style="1163" customWidth="1"/>
    <col min="7417" max="7417" width="43.75" style="1163" customWidth="1"/>
    <col min="7418" max="7420" width="9" style="1163"/>
    <col min="7421" max="7421" width="21.875" style="1163" customWidth="1"/>
    <col min="7422" max="7423" width="9" style="1163"/>
    <col min="7424" max="7425" width="9" style="1163" customWidth="1"/>
    <col min="7426" max="7671" width="9" style="1163"/>
    <col min="7672" max="7672" width="30.5" style="1163" customWidth="1"/>
    <col min="7673" max="7673" width="43.75" style="1163" customWidth="1"/>
    <col min="7674" max="7676" width="9" style="1163"/>
    <col min="7677" max="7677" width="21.875" style="1163" customWidth="1"/>
    <col min="7678" max="7679" width="9" style="1163"/>
    <col min="7680" max="7681" width="9" style="1163" customWidth="1"/>
    <col min="7682" max="7927" width="9" style="1163"/>
    <col min="7928" max="7928" width="30.5" style="1163" customWidth="1"/>
    <col min="7929" max="7929" width="43.75" style="1163" customWidth="1"/>
    <col min="7930" max="7932" width="9" style="1163"/>
    <col min="7933" max="7933" width="21.875" style="1163" customWidth="1"/>
    <col min="7934" max="7935" width="9" style="1163"/>
    <col min="7936" max="7937" width="9" style="1163" customWidth="1"/>
    <col min="7938" max="8183" width="9" style="1163"/>
    <col min="8184" max="8184" width="30.5" style="1163" customWidth="1"/>
    <col min="8185" max="8185" width="43.75" style="1163" customWidth="1"/>
    <col min="8186" max="8188" width="9" style="1163"/>
    <col min="8189" max="8189" width="21.875" style="1163" customWidth="1"/>
    <col min="8190" max="8191" width="9" style="1163"/>
    <col min="8192" max="8193" width="9" style="1163" customWidth="1"/>
    <col min="8194" max="8439" width="9" style="1163"/>
    <col min="8440" max="8440" width="30.5" style="1163" customWidth="1"/>
    <col min="8441" max="8441" width="43.75" style="1163" customWidth="1"/>
    <col min="8442" max="8444" width="9" style="1163"/>
    <col min="8445" max="8445" width="21.875" style="1163" customWidth="1"/>
    <col min="8446" max="8447" width="9" style="1163"/>
    <col min="8448" max="8449" width="9" style="1163" customWidth="1"/>
    <col min="8450" max="8695" width="9" style="1163"/>
    <col min="8696" max="8696" width="30.5" style="1163" customWidth="1"/>
    <col min="8697" max="8697" width="43.75" style="1163" customWidth="1"/>
    <col min="8698" max="8700" width="9" style="1163"/>
    <col min="8701" max="8701" width="21.875" style="1163" customWidth="1"/>
    <col min="8702" max="8703" width="9" style="1163"/>
    <col min="8704" max="8705" width="9" style="1163" customWidth="1"/>
    <col min="8706" max="8951" width="9" style="1163"/>
    <col min="8952" max="8952" width="30.5" style="1163" customWidth="1"/>
    <col min="8953" max="8953" width="43.75" style="1163" customWidth="1"/>
    <col min="8954" max="8956" width="9" style="1163"/>
    <col min="8957" max="8957" width="21.875" style="1163" customWidth="1"/>
    <col min="8958" max="8959" width="9" style="1163"/>
    <col min="8960" max="8961" width="9" style="1163" customWidth="1"/>
    <col min="8962" max="9207" width="9" style="1163"/>
    <col min="9208" max="9208" width="30.5" style="1163" customWidth="1"/>
    <col min="9209" max="9209" width="43.75" style="1163" customWidth="1"/>
    <col min="9210" max="9212" width="9" style="1163"/>
    <col min="9213" max="9213" width="21.875" style="1163" customWidth="1"/>
    <col min="9214" max="9215" width="9" style="1163"/>
    <col min="9216" max="9217" width="9" style="1163" customWidth="1"/>
    <col min="9218" max="9463" width="9" style="1163"/>
    <col min="9464" max="9464" width="30.5" style="1163" customWidth="1"/>
    <col min="9465" max="9465" width="43.75" style="1163" customWidth="1"/>
    <col min="9466" max="9468" width="9" style="1163"/>
    <col min="9469" max="9469" width="21.875" style="1163" customWidth="1"/>
    <col min="9470" max="9471" width="9" style="1163"/>
    <col min="9472" max="9473" width="9" style="1163" customWidth="1"/>
    <col min="9474" max="9719" width="9" style="1163"/>
    <col min="9720" max="9720" width="30.5" style="1163" customWidth="1"/>
    <col min="9721" max="9721" width="43.75" style="1163" customWidth="1"/>
    <col min="9722" max="9724" width="9" style="1163"/>
    <col min="9725" max="9725" width="21.875" style="1163" customWidth="1"/>
    <col min="9726" max="9727" width="9" style="1163"/>
    <col min="9728" max="9729" width="9" style="1163" customWidth="1"/>
    <col min="9730" max="9975" width="9" style="1163"/>
    <col min="9976" max="9976" width="30.5" style="1163" customWidth="1"/>
    <col min="9977" max="9977" width="43.75" style="1163" customWidth="1"/>
    <col min="9978" max="9980" width="9" style="1163"/>
    <col min="9981" max="9981" width="21.875" style="1163" customWidth="1"/>
    <col min="9982" max="9983" width="9" style="1163"/>
    <col min="9984" max="9985" width="9" style="1163" customWidth="1"/>
    <col min="9986" max="10231" width="9" style="1163"/>
    <col min="10232" max="10232" width="30.5" style="1163" customWidth="1"/>
    <col min="10233" max="10233" width="43.75" style="1163" customWidth="1"/>
    <col min="10234" max="10236" width="9" style="1163"/>
    <col min="10237" max="10237" width="21.875" style="1163" customWidth="1"/>
    <col min="10238" max="10239" width="9" style="1163"/>
    <col min="10240" max="10241" width="9" style="1163" customWidth="1"/>
    <col min="10242" max="10487" width="9" style="1163"/>
    <col min="10488" max="10488" width="30.5" style="1163" customWidth="1"/>
    <col min="10489" max="10489" width="43.75" style="1163" customWidth="1"/>
    <col min="10490" max="10492" width="9" style="1163"/>
    <col min="10493" max="10493" width="21.875" style="1163" customWidth="1"/>
    <col min="10494" max="10495" width="9" style="1163"/>
    <col min="10496" max="10497" width="9" style="1163" customWidth="1"/>
    <col min="10498" max="10743" width="9" style="1163"/>
    <col min="10744" max="10744" width="30.5" style="1163" customWidth="1"/>
    <col min="10745" max="10745" width="43.75" style="1163" customWidth="1"/>
    <col min="10746" max="10748" width="9" style="1163"/>
    <col min="10749" max="10749" width="21.875" style="1163" customWidth="1"/>
    <col min="10750" max="10751" width="9" style="1163"/>
    <col min="10752" max="10753" width="9" style="1163" customWidth="1"/>
    <col min="10754" max="10999" width="9" style="1163"/>
    <col min="11000" max="11000" width="30.5" style="1163" customWidth="1"/>
    <col min="11001" max="11001" width="43.75" style="1163" customWidth="1"/>
    <col min="11002" max="11004" width="9" style="1163"/>
    <col min="11005" max="11005" width="21.875" style="1163" customWidth="1"/>
    <col min="11006" max="11007" width="9" style="1163"/>
    <col min="11008" max="11009" width="9" style="1163" customWidth="1"/>
    <col min="11010" max="11255" width="9" style="1163"/>
    <col min="11256" max="11256" width="30.5" style="1163" customWidth="1"/>
    <col min="11257" max="11257" width="43.75" style="1163" customWidth="1"/>
    <col min="11258" max="11260" width="9" style="1163"/>
    <col min="11261" max="11261" width="21.875" style="1163" customWidth="1"/>
    <col min="11262" max="11263" width="9" style="1163"/>
    <col min="11264" max="11265" width="9" style="1163" customWidth="1"/>
    <col min="11266" max="11511" width="9" style="1163"/>
    <col min="11512" max="11512" width="30.5" style="1163" customWidth="1"/>
    <col min="11513" max="11513" width="43.75" style="1163" customWidth="1"/>
    <col min="11514" max="11516" width="9" style="1163"/>
    <col min="11517" max="11517" width="21.875" style="1163" customWidth="1"/>
    <col min="11518" max="11519" width="9" style="1163"/>
    <col min="11520" max="11521" width="9" style="1163" customWidth="1"/>
    <col min="11522" max="11767" width="9" style="1163"/>
    <col min="11768" max="11768" width="30.5" style="1163" customWidth="1"/>
    <col min="11769" max="11769" width="43.75" style="1163" customWidth="1"/>
    <col min="11770" max="11772" width="9" style="1163"/>
    <col min="11773" max="11773" width="21.875" style="1163" customWidth="1"/>
    <col min="11774" max="11775" width="9" style="1163"/>
    <col min="11776" max="11777" width="9" style="1163" customWidth="1"/>
    <col min="11778" max="12023" width="9" style="1163"/>
    <col min="12024" max="12024" width="30.5" style="1163" customWidth="1"/>
    <col min="12025" max="12025" width="43.75" style="1163" customWidth="1"/>
    <col min="12026" max="12028" width="9" style="1163"/>
    <col min="12029" max="12029" width="21.875" style="1163" customWidth="1"/>
    <col min="12030" max="12031" width="9" style="1163"/>
    <col min="12032" max="12033" width="9" style="1163" customWidth="1"/>
    <col min="12034" max="12279" width="9" style="1163"/>
    <col min="12280" max="12280" width="30.5" style="1163" customWidth="1"/>
    <col min="12281" max="12281" width="43.75" style="1163" customWidth="1"/>
    <col min="12282" max="12284" width="9" style="1163"/>
    <col min="12285" max="12285" width="21.875" style="1163" customWidth="1"/>
    <col min="12286" max="12287" width="9" style="1163"/>
    <col min="12288" max="12289" width="9" style="1163" customWidth="1"/>
    <col min="12290" max="12535" width="9" style="1163"/>
    <col min="12536" max="12536" width="30.5" style="1163" customWidth="1"/>
    <col min="12537" max="12537" width="43.75" style="1163" customWidth="1"/>
    <col min="12538" max="12540" width="9" style="1163"/>
    <col min="12541" max="12541" width="21.875" style="1163" customWidth="1"/>
    <col min="12542" max="12543" width="9" style="1163"/>
    <col min="12544" max="12545" width="9" style="1163" customWidth="1"/>
    <col min="12546" max="12791" width="9" style="1163"/>
    <col min="12792" max="12792" width="30.5" style="1163" customWidth="1"/>
    <col min="12793" max="12793" width="43.75" style="1163" customWidth="1"/>
    <col min="12794" max="12796" width="9" style="1163"/>
    <col min="12797" max="12797" width="21.875" style="1163" customWidth="1"/>
    <col min="12798" max="12799" width="9" style="1163"/>
    <col min="12800" max="12801" width="9" style="1163" customWidth="1"/>
    <col min="12802" max="13047" width="9" style="1163"/>
    <col min="13048" max="13048" width="30.5" style="1163" customWidth="1"/>
    <col min="13049" max="13049" width="43.75" style="1163" customWidth="1"/>
    <col min="13050" max="13052" width="9" style="1163"/>
    <col min="13053" max="13053" width="21.875" style="1163" customWidth="1"/>
    <col min="13054" max="13055" width="9" style="1163"/>
    <col min="13056" max="13057" width="9" style="1163" customWidth="1"/>
    <col min="13058" max="13303" width="9" style="1163"/>
    <col min="13304" max="13304" width="30.5" style="1163" customWidth="1"/>
    <col min="13305" max="13305" width="43.75" style="1163" customWidth="1"/>
    <col min="13306" max="13308" width="9" style="1163"/>
    <col min="13309" max="13309" width="21.875" style="1163" customWidth="1"/>
    <col min="13310" max="13311" width="9" style="1163"/>
    <col min="13312" max="13313" width="9" style="1163" customWidth="1"/>
    <col min="13314" max="13559" width="9" style="1163"/>
    <col min="13560" max="13560" width="30.5" style="1163" customWidth="1"/>
    <col min="13561" max="13561" width="43.75" style="1163" customWidth="1"/>
    <col min="13562" max="13564" width="9" style="1163"/>
    <col min="13565" max="13565" width="21.875" style="1163" customWidth="1"/>
    <col min="13566" max="13567" width="9" style="1163"/>
    <col min="13568" max="13569" width="9" style="1163" customWidth="1"/>
    <col min="13570" max="13815" width="9" style="1163"/>
    <col min="13816" max="13816" width="30.5" style="1163" customWidth="1"/>
    <col min="13817" max="13817" width="43.75" style="1163" customWidth="1"/>
    <col min="13818" max="13820" width="9" style="1163"/>
    <col min="13821" max="13821" width="21.875" style="1163" customWidth="1"/>
    <col min="13822" max="13823" width="9" style="1163"/>
    <col min="13824" max="13825" width="9" style="1163" customWidth="1"/>
    <col min="13826" max="14071" width="9" style="1163"/>
    <col min="14072" max="14072" width="30.5" style="1163" customWidth="1"/>
    <col min="14073" max="14073" width="43.75" style="1163" customWidth="1"/>
    <col min="14074" max="14076" width="9" style="1163"/>
    <col min="14077" max="14077" width="21.875" style="1163" customWidth="1"/>
    <col min="14078" max="14079" width="9" style="1163"/>
    <col min="14080" max="14081" width="9" style="1163" customWidth="1"/>
    <col min="14082" max="14327" width="9" style="1163"/>
    <col min="14328" max="14328" width="30.5" style="1163" customWidth="1"/>
    <col min="14329" max="14329" width="43.75" style="1163" customWidth="1"/>
    <col min="14330" max="14332" width="9" style="1163"/>
    <col min="14333" max="14333" width="21.875" style="1163" customWidth="1"/>
    <col min="14334" max="14335" width="9" style="1163"/>
    <col min="14336" max="14337" width="9" style="1163" customWidth="1"/>
    <col min="14338" max="14583" width="9" style="1163"/>
    <col min="14584" max="14584" width="30.5" style="1163" customWidth="1"/>
    <col min="14585" max="14585" width="43.75" style="1163" customWidth="1"/>
    <col min="14586" max="14588" width="9" style="1163"/>
    <col min="14589" max="14589" width="21.875" style="1163" customWidth="1"/>
    <col min="14590" max="14591" width="9" style="1163"/>
    <col min="14592" max="14593" width="9" style="1163" customWidth="1"/>
    <col min="14594" max="14839" width="9" style="1163"/>
    <col min="14840" max="14840" width="30.5" style="1163" customWidth="1"/>
    <col min="14841" max="14841" width="43.75" style="1163" customWidth="1"/>
    <col min="14842" max="14844" width="9" style="1163"/>
    <col min="14845" max="14845" width="21.875" style="1163" customWidth="1"/>
    <col min="14846" max="14847" width="9" style="1163"/>
    <col min="14848" max="14849" width="9" style="1163" customWidth="1"/>
    <col min="14850" max="15095" width="9" style="1163"/>
    <col min="15096" max="15096" width="30.5" style="1163" customWidth="1"/>
    <col min="15097" max="15097" width="43.75" style="1163" customWidth="1"/>
    <col min="15098" max="15100" width="9" style="1163"/>
    <col min="15101" max="15101" width="21.875" style="1163" customWidth="1"/>
    <col min="15102" max="15103" width="9" style="1163"/>
    <col min="15104" max="15105" width="9" style="1163" customWidth="1"/>
    <col min="15106" max="15351" width="9" style="1163"/>
    <col min="15352" max="15352" width="30.5" style="1163" customWidth="1"/>
    <col min="15353" max="15353" width="43.75" style="1163" customWidth="1"/>
    <col min="15354" max="15356" width="9" style="1163"/>
    <col min="15357" max="15357" width="21.875" style="1163" customWidth="1"/>
    <col min="15358" max="15359" width="9" style="1163"/>
    <col min="15360" max="15361" width="9" style="1163" customWidth="1"/>
    <col min="15362" max="15607" width="9" style="1163"/>
    <col min="15608" max="15608" width="30.5" style="1163" customWidth="1"/>
    <col min="15609" max="15609" width="43.75" style="1163" customWidth="1"/>
    <col min="15610" max="15612" width="9" style="1163"/>
    <col min="15613" max="15613" width="21.875" style="1163" customWidth="1"/>
    <col min="15614" max="15615" width="9" style="1163"/>
    <col min="15616" max="15617" width="9" style="1163" customWidth="1"/>
    <col min="15618" max="15863" width="9" style="1163"/>
    <col min="15864" max="15864" width="30.5" style="1163" customWidth="1"/>
    <col min="15865" max="15865" width="43.75" style="1163" customWidth="1"/>
    <col min="15866" max="15868" width="9" style="1163"/>
    <col min="15869" max="15869" width="21.875" style="1163" customWidth="1"/>
    <col min="15870" max="15871" width="9" style="1163"/>
    <col min="15872" max="15873" width="9" style="1163" customWidth="1"/>
    <col min="15874" max="16119" width="9" style="1163"/>
    <col min="16120" max="16120" width="30.5" style="1163" customWidth="1"/>
    <col min="16121" max="16121" width="43.75" style="1163" customWidth="1"/>
    <col min="16122" max="16124" width="9" style="1163"/>
    <col min="16125" max="16125" width="21.875" style="1163" customWidth="1"/>
    <col min="16126" max="16127" width="9" style="1163"/>
    <col min="16128" max="16129" width="9" style="1163" customWidth="1"/>
    <col min="16130" max="16384" width="9" style="1163"/>
  </cols>
  <sheetData>
    <row r="1" spans="2:7" ht="22.5" customHeight="1">
      <c r="B1" s="1161"/>
      <c r="C1" s="1161"/>
      <c r="D1" s="1162"/>
      <c r="F1" s="1161"/>
      <c r="G1" s="1161"/>
    </row>
    <row r="2" spans="2:7" ht="18.75">
      <c r="B2" s="1164" t="s">
        <v>1369</v>
      </c>
      <c r="C2" s="1163"/>
      <c r="E2" s="1161"/>
      <c r="F2" s="1161"/>
      <c r="G2" s="1161"/>
    </row>
    <row r="3" spans="2:7" ht="18.75">
      <c r="B3" s="1161"/>
      <c r="C3" s="1161"/>
      <c r="D3" s="1165"/>
      <c r="E3" s="1161"/>
      <c r="F3" s="1161"/>
      <c r="G3" s="1161"/>
    </row>
    <row r="4" spans="2:7" ht="17.25">
      <c r="B4" s="1166" t="s">
        <v>1370</v>
      </c>
      <c r="C4" s="1167" t="s">
        <v>1371</v>
      </c>
      <c r="E4" s="1161"/>
      <c r="F4" s="1161"/>
      <c r="G4" s="1161"/>
    </row>
    <row r="5" spans="2:7" ht="17.25">
      <c r="B5" s="1168" t="s">
        <v>1372</v>
      </c>
      <c r="C5" s="1167" t="s">
        <v>1373</v>
      </c>
      <c r="E5" s="1161"/>
      <c r="F5" s="1161"/>
      <c r="G5" s="1161"/>
    </row>
    <row r="6" spans="2:7" ht="17.25">
      <c r="B6" s="1169" t="s">
        <v>1374</v>
      </c>
      <c r="C6" s="1167" t="s">
        <v>1375</v>
      </c>
      <c r="E6" s="1161"/>
      <c r="F6" s="1161"/>
      <c r="G6" s="1161"/>
    </row>
    <row r="7" spans="2:7" ht="17.25">
      <c r="B7" s="1170" t="s">
        <v>1376</v>
      </c>
      <c r="C7" s="1167" t="s">
        <v>1377</v>
      </c>
      <c r="E7" s="1161"/>
      <c r="F7" s="1161"/>
      <c r="G7" s="1161"/>
    </row>
    <row r="8" spans="2:7" ht="9" customHeight="1">
      <c r="B8" s="1161"/>
      <c r="C8" s="1161"/>
      <c r="D8" s="1161"/>
      <c r="E8" s="1161"/>
      <c r="F8" s="1161"/>
      <c r="G8" s="1161"/>
    </row>
    <row r="9" spans="2:7" ht="26.25" hidden="1" customHeight="1">
      <c r="B9" s="1171" t="s">
        <v>1378</v>
      </c>
      <c r="C9" s="1161"/>
      <c r="D9" s="1161"/>
      <c r="E9" s="1161"/>
      <c r="F9" s="1161"/>
      <c r="G9" s="1161"/>
    </row>
    <row r="10" spans="2:7" ht="26.25" hidden="1" customHeight="1" thickBot="1">
      <c r="B10" s="1172" t="s">
        <v>1379</v>
      </c>
      <c r="E10" s="1161"/>
      <c r="F10" s="1161"/>
      <c r="G10" s="1161"/>
    </row>
    <row r="11" spans="2:7" ht="26.25" hidden="1" customHeight="1">
      <c r="B11" s="1174" t="s">
        <v>1380</v>
      </c>
      <c r="C11" s="1175" t="s">
        <v>1381</v>
      </c>
      <c r="D11" s="1172"/>
      <c r="E11" s="1161"/>
      <c r="G11" s="1161"/>
    </row>
    <row r="12" spans="2:7" ht="26.25" hidden="1" customHeight="1">
      <c r="B12" s="1176" t="s">
        <v>1382</v>
      </c>
      <c r="C12" s="1177" t="str">
        <f>IF(【様式１】総括表・個票!$D$12="","※園名を選択",CONCATENATE("【加算申請】",VLOOKUP(【様式１】総括表・個票!$D$12,'施設状況 (要更新)'!$F$4:$S$700,14,FALSE),【様式１】総括表・個票!$D$12))</f>
        <v>※園名を選択</v>
      </c>
      <c r="D12" s="1178" t="s">
        <v>1383</v>
      </c>
      <c r="G12" s="1161"/>
    </row>
    <row r="13" spans="2:7" ht="26.25" hidden="1" customHeight="1" thickBot="1">
      <c r="B13" s="1179" t="s">
        <v>1384</v>
      </c>
      <c r="C13" s="1180" t="s">
        <v>1385</v>
      </c>
      <c r="D13" s="1172" t="s">
        <v>1386</v>
      </c>
      <c r="G13" s="1161"/>
    </row>
    <row r="14" spans="2:7" ht="26.25" hidden="1" customHeight="1">
      <c r="D14" s="1172" t="s">
        <v>1387</v>
      </c>
      <c r="G14" s="1161"/>
    </row>
    <row r="15" spans="2:7" ht="26.25" hidden="1" customHeight="1" thickBot="1">
      <c r="B15" s="1172" t="s">
        <v>1388</v>
      </c>
      <c r="G15" s="1161"/>
    </row>
    <row r="16" spans="2:7" ht="26.25" hidden="1" customHeight="1">
      <c r="B16" s="1181" t="s">
        <v>1389</v>
      </c>
      <c r="C16" s="1182"/>
      <c r="D16" s="1172" t="s">
        <v>1390</v>
      </c>
      <c r="G16" s="1161"/>
    </row>
    <row r="17" spans="2:7" ht="26.25" hidden="1" customHeight="1">
      <c r="B17" s="1183" t="s">
        <v>1391</v>
      </c>
      <c r="C17" s="1184"/>
      <c r="D17" s="1163" t="s">
        <v>1392</v>
      </c>
      <c r="G17" s="1161"/>
    </row>
    <row r="18" spans="2:7" ht="26.25" hidden="1" customHeight="1" thickBot="1">
      <c r="B18" s="1185" t="s">
        <v>1393</v>
      </c>
      <c r="C18" s="1186"/>
      <c r="G18" s="1161"/>
    </row>
    <row r="19" spans="2:7" ht="26.25" hidden="1" customHeight="1">
      <c r="C19" s="1163"/>
      <c r="F19" s="1161"/>
      <c r="G19" s="1161"/>
    </row>
    <row r="20" spans="2:7" ht="24" hidden="1" customHeight="1">
      <c r="B20" s="1187" t="s">
        <v>1394</v>
      </c>
      <c r="C20" s="1188"/>
      <c r="D20" s="1189"/>
      <c r="F20" s="1161"/>
      <c r="G20" s="1161"/>
    </row>
    <row r="21" spans="2:7" ht="24" hidden="1" customHeight="1" thickBot="1">
      <c r="B21" s="1188" t="s">
        <v>1395</v>
      </c>
      <c r="C21" s="1188"/>
      <c r="D21" s="1189"/>
    </row>
    <row r="22" spans="2:7" ht="24" hidden="1" customHeight="1">
      <c r="B22" s="1190" t="s">
        <v>1396</v>
      </c>
      <c r="C22" s="1175" t="s">
        <v>1381</v>
      </c>
      <c r="D22" s="1189"/>
    </row>
    <row r="23" spans="2:7" ht="24" hidden="1" customHeight="1" thickBot="1">
      <c r="B23" s="1191" t="s">
        <v>1382</v>
      </c>
      <c r="C23" s="1180" t="str">
        <f>IF(【様式１】総括表・個票!$D$12="","※園名を選択",CONCATENATE("【加算問い合わせ】",VLOOKUP(【様式１】総括表・個票!$D$12,'施設状況 (要更新)'!$F$4:$S$700,14,FALSE),【様式１】総括表・個票!$D$12))</f>
        <v>※園名を選択</v>
      </c>
      <c r="D23" s="1178" t="s">
        <v>1383</v>
      </c>
    </row>
    <row r="24" spans="2:7" ht="24" customHeight="1">
      <c r="B24" s="1192"/>
      <c r="C24" s="1193"/>
    </row>
    <row r="25" spans="2:7" ht="24" customHeight="1" thickBot="1">
      <c r="B25" s="1187" t="s">
        <v>1397</v>
      </c>
      <c r="C25" s="1161"/>
      <c r="E25" s="1161"/>
    </row>
    <row r="26" spans="2:7" ht="24" customHeight="1" thickBot="1">
      <c r="B26" s="1194" t="s">
        <v>1398</v>
      </c>
      <c r="C26" s="1383" t="s">
        <v>1399</v>
      </c>
      <c r="D26" s="1384"/>
      <c r="E26" s="1161"/>
    </row>
    <row r="27" spans="2:7" ht="69.75" customHeight="1" thickTop="1">
      <c r="B27" s="1195" t="s">
        <v>1400</v>
      </c>
      <c r="C27" s="1385" t="s">
        <v>1544</v>
      </c>
      <c r="D27" s="1386"/>
      <c r="E27" s="1161"/>
    </row>
    <row r="28" spans="2:7" ht="23.25" customHeight="1">
      <c r="B28" s="1378" t="s">
        <v>1401</v>
      </c>
      <c r="C28" s="1388" t="s">
        <v>1063</v>
      </c>
      <c r="D28" s="1389"/>
      <c r="E28" s="1161"/>
    </row>
    <row r="29" spans="2:7" ht="23.25" customHeight="1">
      <c r="B29" s="1379"/>
      <c r="C29" s="1376" t="s">
        <v>580</v>
      </c>
      <c r="D29" s="1377"/>
      <c r="E29" s="1161"/>
    </row>
    <row r="30" spans="2:7" ht="23.25" customHeight="1">
      <c r="B30" s="1379"/>
      <c r="C30" s="1376" t="s">
        <v>572</v>
      </c>
      <c r="D30" s="1377"/>
      <c r="E30" s="1161"/>
    </row>
    <row r="31" spans="2:7" ht="23.25" customHeight="1">
      <c r="B31" s="1379"/>
      <c r="C31" s="1376" t="s">
        <v>1064</v>
      </c>
      <c r="D31" s="1377"/>
      <c r="E31" s="1161"/>
    </row>
    <row r="32" spans="2:7" ht="23.25" customHeight="1">
      <c r="B32" s="1379"/>
      <c r="C32" s="1376" t="s">
        <v>573</v>
      </c>
      <c r="D32" s="1377"/>
      <c r="E32" s="1161"/>
    </row>
    <row r="33" spans="2:5" ht="23.25" customHeight="1">
      <c r="B33" s="1379"/>
      <c r="C33" s="1376" t="s">
        <v>574</v>
      </c>
      <c r="D33" s="1377"/>
      <c r="E33" s="1161"/>
    </row>
    <row r="34" spans="2:5" ht="23.25" customHeight="1">
      <c r="B34" s="1379"/>
      <c r="C34" s="1376" t="s">
        <v>575</v>
      </c>
      <c r="D34" s="1377"/>
      <c r="E34" s="1161"/>
    </row>
    <row r="35" spans="2:5" ht="23.25" customHeight="1">
      <c r="B35" s="1379"/>
      <c r="C35" s="1376" t="s">
        <v>1065</v>
      </c>
      <c r="D35" s="1377"/>
      <c r="E35" s="1161"/>
    </row>
    <row r="36" spans="2:5" ht="23.25" customHeight="1">
      <c r="B36" s="1379"/>
      <c r="C36" s="1376" t="s">
        <v>1066</v>
      </c>
      <c r="D36" s="1377"/>
      <c r="E36" s="1161"/>
    </row>
    <row r="37" spans="2:5" ht="23.25" customHeight="1">
      <c r="B37" s="1387"/>
      <c r="C37" s="1196" t="s">
        <v>576</v>
      </c>
      <c r="D37" s="1197"/>
      <c r="E37" s="1161"/>
    </row>
    <row r="38" spans="2:5" ht="23.25" customHeight="1">
      <c r="B38" s="1378" t="s">
        <v>1402</v>
      </c>
      <c r="C38" s="1198" t="s">
        <v>1403</v>
      </c>
      <c r="D38" s="1199"/>
      <c r="E38" s="1161"/>
    </row>
    <row r="39" spans="2:5" ht="23.25" customHeight="1">
      <c r="B39" s="1379"/>
      <c r="C39" s="1198" t="s">
        <v>1404</v>
      </c>
      <c r="D39" s="1199"/>
      <c r="E39" s="1161"/>
    </row>
    <row r="40" spans="2:5" ht="23.25" customHeight="1">
      <c r="B40" s="1379"/>
      <c r="C40" s="1198" t="s">
        <v>1405</v>
      </c>
      <c r="D40" s="1199"/>
      <c r="E40" s="1161"/>
    </row>
    <row r="41" spans="2:5" s="1201" customFormat="1" ht="60" customHeight="1" thickBot="1">
      <c r="B41" s="1380"/>
      <c r="C41" s="1381" t="s">
        <v>1681</v>
      </c>
      <c r="D41" s="1382"/>
      <c r="E41" s="1200"/>
    </row>
    <row r="42" spans="2:5" ht="24" customHeight="1">
      <c r="C42" s="1163"/>
    </row>
    <row r="43" spans="2:5" ht="24" customHeight="1">
      <c r="C43" s="1163"/>
    </row>
    <row r="44" spans="2:5" ht="24" customHeight="1">
      <c r="C44" s="1163"/>
    </row>
    <row r="45" spans="2:5" ht="24" customHeight="1">
      <c r="C45" s="1163"/>
    </row>
    <row r="46" spans="2:5" ht="24" customHeight="1">
      <c r="C46" s="1163"/>
    </row>
    <row r="47" spans="2:5" ht="24" customHeight="1">
      <c r="C47" s="1163"/>
    </row>
  </sheetData>
  <sheetProtection algorithmName="SHA-512" hashValue="55qfv8eMayMMbUa4AIvzxg5U0uQyK0TORG4mY0WjZPuhsFxXEfpPnNPTOoHkHXVrWjmrq8pDaAlBEKinoeGc3w==" saltValue="OE2TfeWuMTSRZjfuAx5w4g==" spinCount="100000" sheet="1" objects="1" scenarios="1"/>
  <mergeCells count="14">
    <mergeCell ref="C35:D35"/>
    <mergeCell ref="C36:D36"/>
    <mergeCell ref="B38:B41"/>
    <mergeCell ref="C41:D41"/>
    <mergeCell ref="C26:D26"/>
    <mergeCell ref="C27:D27"/>
    <mergeCell ref="B28:B37"/>
    <mergeCell ref="C28:D28"/>
    <mergeCell ref="C29:D29"/>
    <mergeCell ref="C30:D30"/>
    <mergeCell ref="C31:D31"/>
    <mergeCell ref="C32:D32"/>
    <mergeCell ref="C33:D33"/>
    <mergeCell ref="C34:D34"/>
  </mergeCells>
  <phoneticPr fontId="1"/>
  <dataValidations count="1">
    <dataValidation type="list" allowBlank="1" showInputMessage="1" showErrorMessage="1" sqref="WVA983056 WLE983056 WBI983056 VRM983056 VHQ983056 UXU983056 UNY983056 UEC983056 TUG983056 TKK983056 TAO983056 SQS983056 SGW983056 RXA983056 RNE983056 RDI983056 QTM983056 QJQ983056 PZU983056 PPY983056 PGC983056 OWG983056 OMK983056 OCO983056 NSS983056 NIW983056 MZA983056 MPE983056 MFI983056 LVM983056 LLQ983056 LBU983056 KRY983056 KIC983056 JYG983056 JOK983056 JEO983056 IUS983056 IKW983056 IBA983056 HRE983056 HHI983056 GXM983056 GNQ983056 GDU983056 FTY983056 FKC983056 FAG983056 EQK983056 EGO983056 DWS983056 DMW983056 DDA983056 CTE983056 CJI983056 BZM983056 BPQ983056 BFU983056 AVY983056 AMC983056 ACG983056 SK983056 IO983056 C983046 WVA917520 WLE917520 WBI917520 VRM917520 VHQ917520 UXU917520 UNY917520 UEC917520 TUG917520 TKK917520 TAO917520 SQS917520 SGW917520 RXA917520 RNE917520 RDI917520 QTM917520 QJQ917520 PZU917520 PPY917520 PGC917520 OWG917520 OMK917520 OCO917520 NSS917520 NIW917520 MZA917520 MPE917520 MFI917520 LVM917520 LLQ917520 LBU917520 KRY917520 KIC917520 JYG917520 JOK917520 JEO917520 IUS917520 IKW917520 IBA917520 HRE917520 HHI917520 GXM917520 GNQ917520 GDU917520 FTY917520 FKC917520 FAG917520 EQK917520 EGO917520 DWS917520 DMW917520 DDA917520 CTE917520 CJI917520 BZM917520 BPQ917520 BFU917520 AVY917520 AMC917520 ACG917520 SK917520 IO917520 C917510 WVA851984 WLE851984 WBI851984 VRM851984 VHQ851984 UXU851984 UNY851984 UEC851984 TUG851984 TKK851984 TAO851984 SQS851984 SGW851984 RXA851984 RNE851984 RDI851984 QTM851984 QJQ851984 PZU851984 PPY851984 PGC851984 OWG851984 OMK851984 OCO851984 NSS851984 NIW851984 MZA851984 MPE851984 MFI851984 LVM851984 LLQ851984 LBU851984 KRY851984 KIC851984 JYG851984 JOK851984 JEO851984 IUS851984 IKW851984 IBA851984 HRE851984 HHI851984 GXM851984 GNQ851984 GDU851984 FTY851984 FKC851984 FAG851984 EQK851984 EGO851984 DWS851984 DMW851984 DDA851984 CTE851984 CJI851984 BZM851984 BPQ851984 BFU851984 AVY851984 AMC851984 ACG851984 SK851984 IO851984 C851974 WVA786448 WLE786448 WBI786448 VRM786448 VHQ786448 UXU786448 UNY786448 UEC786448 TUG786448 TKK786448 TAO786448 SQS786448 SGW786448 RXA786448 RNE786448 RDI786448 QTM786448 QJQ786448 PZU786448 PPY786448 PGC786448 OWG786448 OMK786448 OCO786448 NSS786448 NIW786448 MZA786448 MPE786448 MFI786448 LVM786448 LLQ786448 LBU786448 KRY786448 KIC786448 JYG786448 JOK786448 JEO786448 IUS786448 IKW786448 IBA786448 HRE786448 HHI786448 GXM786448 GNQ786448 GDU786448 FTY786448 FKC786448 FAG786448 EQK786448 EGO786448 DWS786448 DMW786448 DDA786448 CTE786448 CJI786448 BZM786448 BPQ786448 BFU786448 AVY786448 AMC786448 ACG786448 SK786448 IO786448 C786438 WVA720912 WLE720912 WBI720912 VRM720912 VHQ720912 UXU720912 UNY720912 UEC720912 TUG720912 TKK720912 TAO720912 SQS720912 SGW720912 RXA720912 RNE720912 RDI720912 QTM720912 QJQ720912 PZU720912 PPY720912 PGC720912 OWG720912 OMK720912 OCO720912 NSS720912 NIW720912 MZA720912 MPE720912 MFI720912 LVM720912 LLQ720912 LBU720912 KRY720912 KIC720912 JYG720912 JOK720912 JEO720912 IUS720912 IKW720912 IBA720912 HRE720912 HHI720912 GXM720912 GNQ720912 GDU720912 FTY720912 FKC720912 FAG720912 EQK720912 EGO720912 DWS720912 DMW720912 DDA720912 CTE720912 CJI720912 BZM720912 BPQ720912 BFU720912 AVY720912 AMC720912 ACG720912 SK720912 IO720912 C720902 WVA655376 WLE655376 WBI655376 VRM655376 VHQ655376 UXU655376 UNY655376 UEC655376 TUG655376 TKK655376 TAO655376 SQS655376 SGW655376 RXA655376 RNE655376 RDI655376 QTM655376 QJQ655376 PZU655376 PPY655376 PGC655376 OWG655376 OMK655376 OCO655376 NSS655376 NIW655376 MZA655376 MPE655376 MFI655376 LVM655376 LLQ655376 LBU655376 KRY655376 KIC655376 JYG655376 JOK655376 JEO655376 IUS655376 IKW655376 IBA655376 HRE655376 HHI655376 GXM655376 GNQ655376 GDU655376 FTY655376 FKC655376 FAG655376 EQK655376 EGO655376 DWS655376 DMW655376 DDA655376 CTE655376 CJI655376 BZM655376 BPQ655376 BFU655376 AVY655376 AMC655376 ACG655376 SK655376 IO655376 C655366 WVA589840 WLE589840 WBI589840 VRM589840 VHQ589840 UXU589840 UNY589840 UEC589840 TUG589840 TKK589840 TAO589840 SQS589840 SGW589840 RXA589840 RNE589840 RDI589840 QTM589840 QJQ589840 PZU589840 PPY589840 PGC589840 OWG589840 OMK589840 OCO589840 NSS589840 NIW589840 MZA589840 MPE589840 MFI589840 LVM589840 LLQ589840 LBU589840 KRY589840 KIC589840 JYG589840 JOK589840 JEO589840 IUS589840 IKW589840 IBA589840 HRE589840 HHI589840 GXM589840 GNQ589840 GDU589840 FTY589840 FKC589840 FAG589840 EQK589840 EGO589840 DWS589840 DMW589840 DDA589840 CTE589840 CJI589840 BZM589840 BPQ589840 BFU589840 AVY589840 AMC589840 ACG589840 SK589840 IO589840 C589830 WVA524304 WLE524304 WBI524304 VRM524304 VHQ524304 UXU524304 UNY524304 UEC524304 TUG524304 TKK524304 TAO524304 SQS524304 SGW524304 RXA524304 RNE524304 RDI524304 QTM524304 QJQ524304 PZU524304 PPY524304 PGC524304 OWG524304 OMK524304 OCO524304 NSS524304 NIW524304 MZA524304 MPE524304 MFI524304 LVM524304 LLQ524304 LBU524304 KRY524304 KIC524304 JYG524304 JOK524304 JEO524304 IUS524304 IKW524304 IBA524304 HRE524304 HHI524304 GXM524304 GNQ524304 GDU524304 FTY524304 FKC524304 FAG524304 EQK524304 EGO524304 DWS524304 DMW524304 DDA524304 CTE524304 CJI524304 BZM524304 BPQ524304 BFU524304 AVY524304 AMC524304 ACG524304 SK524304 IO524304 C524294 WVA458768 WLE458768 WBI458768 VRM458768 VHQ458768 UXU458768 UNY458768 UEC458768 TUG458768 TKK458768 TAO458768 SQS458768 SGW458768 RXA458768 RNE458768 RDI458768 QTM458768 QJQ458768 PZU458768 PPY458768 PGC458768 OWG458768 OMK458768 OCO458768 NSS458768 NIW458768 MZA458768 MPE458768 MFI458768 LVM458768 LLQ458768 LBU458768 KRY458768 KIC458768 JYG458768 JOK458768 JEO458768 IUS458768 IKW458768 IBA458768 HRE458768 HHI458768 GXM458768 GNQ458768 GDU458768 FTY458768 FKC458768 FAG458768 EQK458768 EGO458768 DWS458768 DMW458768 DDA458768 CTE458768 CJI458768 BZM458768 BPQ458768 BFU458768 AVY458768 AMC458768 ACG458768 SK458768 IO458768 C458758 WVA393232 WLE393232 WBI393232 VRM393232 VHQ393232 UXU393232 UNY393232 UEC393232 TUG393232 TKK393232 TAO393232 SQS393232 SGW393232 RXA393232 RNE393232 RDI393232 QTM393232 QJQ393232 PZU393232 PPY393232 PGC393232 OWG393232 OMK393232 OCO393232 NSS393232 NIW393232 MZA393232 MPE393232 MFI393232 LVM393232 LLQ393232 LBU393232 KRY393232 KIC393232 JYG393232 JOK393232 JEO393232 IUS393232 IKW393232 IBA393232 HRE393232 HHI393232 GXM393232 GNQ393232 GDU393232 FTY393232 FKC393232 FAG393232 EQK393232 EGO393232 DWS393232 DMW393232 DDA393232 CTE393232 CJI393232 BZM393232 BPQ393232 BFU393232 AVY393232 AMC393232 ACG393232 SK393232 IO393232 C393222 WVA327696 WLE327696 WBI327696 VRM327696 VHQ327696 UXU327696 UNY327696 UEC327696 TUG327696 TKK327696 TAO327696 SQS327696 SGW327696 RXA327696 RNE327696 RDI327696 QTM327696 QJQ327696 PZU327696 PPY327696 PGC327696 OWG327696 OMK327696 OCO327696 NSS327696 NIW327696 MZA327696 MPE327696 MFI327696 LVM327696 LLQ327696 LBU327696 KRY327696 KIC327696 JYG327696 JOK327696 JEO327696 IUS327696 IKW327696 IBA327696 HRE327696 HHI327696 GXM327696 GNQ327696 GDU327696 FTY327696 FKC327696 FAG327696 EQK327696 EGO327696 DWS327696 DMW327696 DDA327696 CTE327696 CJI327696 BZM327696 BPQ327696 BFU327696 AVY327696 AMC327696 ACG327696 SK327696 IO327696 C327686 WVA262160 WLE262160 WBI262160 VRM262160 VHQ262160 UXU262160 UNY262160 UEC262160 TUG262160 TKK262160 TAO262160 SQS262160 SGW262160 RXA262160 RNE262160 RDI262160 QTM262160 QJQ262160 PZU262160 PPY262160 PGC262160 OWG262160 OMK262160 OCO262160 NSS262160 NIW262160 MZA262160 MPE262160 MFI262160 LVM262160 LLQ262160 LBU262160 KRY262160 KIC262160 JYG262160 JOK262160 JEO262160 IUS262160 IKW262160 IBA262160 HRE262160 HHI262160 GXM262160 GNQ262160 GDU262160 FTY262160 FKC262160 FAG262160 EQK262160 EGO262160 DWS262160 DMW262160 DDA262160 CTE262160 CJI262160 BZM262160 BPQ262160 BFU262160 AVY262160 AMC262160 ACG262160 SK262160 IO262160 C262150 WVA196624 WLE196624 WBI196624 VRM196624 VHQ196624 UXU196624 UNY196624 UEC196624 TUG196624 TKK196624 TAO196624 SQS196624 SGW196624 RXA196624 RNE196624 RDI196624 QTM196624 QJQ196624 PZU196624 PPY196624 PGC196624 OWG196624 OMK196624 OCO196624 NSS196624 NIW196624 MZA196624 MPE196624 MFI196624 LVM196624 LLQ196624 LBU196624 KRY196624 KIC196624 JYG196624 JOK196624 JEO196624 IUS196624 IKW196624 IBA196624 HRE196624 HHI196624 GXM196624 GNQ196624 GDU196624 FTY196624 FKC196624 FAG196624 EQK196624 EGO196624 DWS196624 DMW196624 DDA196624 CTE196624 CJI196624 BZM196624 BPQ196624 BFU196624 AVY196624 AMC196624 ACG196624 SK196624 IO196624 C196614 WVA131088 WLE131088 WBI131088 VRM131088 VHQ131088 UXU131088 UNY131088 UEC131088 TUG131088 TKK131088 TAO131088 SQS131088 SGW131088 RXA131088 RNE131088 RDI131088 QTM131088 QJQ131088 PZU131088 PPY131088 PGC131088 OWG131088 OMK131088 OCO131088 NSS131088 NIW131088 MZA131088 MPE131088 MFI131088 LVM131088 LLQ131088 LBU131088 KRY131088 KIC131088 JYG131088 JOK131088 JEO131088 IUS131088 IKW131088 IBA131088 HRE131088 HHI131088 GXM131088 GNQ131088 GDU131088 FTY131088 FKC131088 FAG131088 EQK131088 EGO131088 DWS131088 DMW131088 DDA131088 CTE131088 CJI131088 BZM131088 BPQ131088 BFU131088 AVY131088 AMC131088 ACG131088 SK131088 IO131088 C131078 WVA65552 WLE65552 WBI65552 VRM65552 VHQ65552 UXU65552 UNY65552 UEC65552 TUG65552 TKK65552 TAO65552 SQS65552 SGW65552 RXA65552 RNE65552 RDI65552 QTM65552 QJQ65552 PZU65552 PPY65552 PGC65552 OWG65552 OMK65552 OCO65552 NSS65552 NIW65552 MZA65552 MPE65552 MFI65552 LVM65552 LLQ65552 LBU65552 KRY65552 KIC65552 JYG65552 JOK65552 JEO65552 IUS65552 IKW65552 IBA65552 HRE65552 HHI65552 GXM65552 GNQ65552 GDU65552 FTY65552 FKC65552 FAG65552 EQK65552 EGO65552 DWS65552 DMW65552 DDA65552 CTE65552 CJI65552 BZM65552 BPQ65552 BFU65552 AVY65552 AMC65552 ACG65552 SK65552 IO65552 C65542 IN27:IN34 SJ27:SJ34 ACF27:ACF34 AMB27:AMB34 AVX27:AVX34 BFT27:BFT34 BPP27:BPP34 BZL27:BZL34 CJH27:CJH34 CTD27:CTD34 DCZ27:DCZ34 DMV27:DMV34 DWR27:DWR34 EGN27:EGN34 EQJ27:EQJ34 FAF27:FAF34 FKB27:FKB34 FTX27:FTX34 GDT27:GDT34 GNP27:GNP34 GXL27:GXL34 HHH27:HHH34 HRD27:HRD34 IAZ27:IAZ34 IKV27:IKV34 IUR27:IUR34 JEN27:JEN34 JOJ27:JOJ34 JYF27:JYF34 KIB27:KIB34 KRX27:KRX34 LBT27:LBT34 LLP27:LLP34 LVL27:LVL34 MFH27:MFH34 MPD27:MPD34 MYZ27:MYZ34 NIV27:NIV34 NSR27:NSR34 OCN27:OCN34 OMJ27:OMJ34 OWF27:OWF34 PGB27:PGB34 PPX27:PPX34 PZT27:PZT34 QJP27:QJP34 QTL27:QTL34 RDH27:RDH34 RND27:RND34 RWZ27:RWZ34 SGV27:SGV34 SQR27:SQR34 TAN27:TAN34 TKJ27:TKJ34 TUF27:TUF34 UEB27:UEB34 UNX27:UNX34 UXT27:UXT34 VHP27:VHP34 VRL27:VRL34 WBH27:WBH34 WLD27:WLD34 WUZ27:WUZ34" xr:uid="{00000000-0002-0000-0200-000000000000}">
      <formula1>#REF!</formula1>
    </dataValidation>
  </dataValidations>
  <hyperlinks>
    <hyperlink ref="C11" r:id="rId1" xr:uid="{00000000-0004-0000-0200-000000000000}"/>
    <hyperlink ref="C22" r:id="rId2" xr:uid="{00000000-0004-0000-0200-000001000000}"/>
  </hyperlinks>
  <pageMargins left="0.39370078740157483" right="0" top="0.98425196850393704" bottom="0.98425196850393704" header="0.51181102362204722" footer="0.51181102362204722"/>
  <pageSetup paperSize="9" scale="65" orientation="portrait" r:id="rId3"/>
  <headerFooter alignWithMargins="0"/>
  <colBreaks count="1" manualBreakCount="1">
    <brk id="6"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99FF"/>
    <pageSetUpPr fitToPage="1"/>
  </sheetPr>
  <dimension ref="A1:M169"/>
  <sheetViews>
    <sheetView view="pageBreakPreview" zoomScaleNormal="100" zoomScaleSheetLayoutView="100" workbookViewId="0">
      <selection activeCell="B15" sqref="B15:B17"/>
    </sheetView>
  </sheetViews>
  <sheetFormatPr defaultRowHeight="13.5" outlineLevelCol="1"/>
  <cols>
    <col min="1" max="1" width="15.5" customWidth="1"/>
    <col min="2" max="2" width="39.125" customWidth="1"/>
    <col min="3" max="3" width="67.75" customWidth="1"/>
    <col min="4" max="5" width="9" hidden="1" customWidth="1" outlineLevel="1"/>
    <col min="6" max="6" width="36.125" hidden="1" customWidth="1" outlineLevel="1"/>
    <col min="7" max="12" width="9" hidden="1" customWidth="1" outlineLevel="1"/>
    <col min="13" max="13" width="8.75" collapsed="1"/>
  </cols>
  <sheetData>
    <row r="1" spans="1:9" ht="18" thickBot="1">
      <c r="A1" s="1187" t="s">
        <v>1394</v>
      </c>
      <c r="B1" s="1188"/>
      <c r="D1" s="122" t="s">
        <v>85</v>
      </c>
      <c r="E1" s="1238" t="s">
        <v>1478</v>
      </c>
      <c r="F1" s="122" t="s">
        <v>1479</v>
      </c>
    </row>
    <row r="2" spans="1:9" ht="17.25">
      <c r="A2" s="1239" t="s">
        <v>1396</v>
      </c>
      <c r="B2" s="1240" t="s">
        <v>1480</v>
      </c>
      <c r="D2" s="122" t="str">
        <f>【様式１】総括表・個票!I10&amp;"月"</f>
        <v>4月</v>
      </c>
      <c r="E2" s="1238" t="e">
        <f>VLOOKUP(【様式１】総括表・個票!D12,'施設状況 (要更新)'!$F$4:$S$250,14,FALSE)</f>
        <v>#N/A</v>
      </c>
      <c r="F2" s="122">
        <f>【様式１】総括表・個票!D12</f>
        <v>0</v>
      </c>
    </row>
    <row r="3" spans="1:9" ht="14.25">
      <c r="A3" s="1241" t="s">
        <v>1382</v>
      </c>
      <c r="B3" s="1242" t="e">
        <f>"【問合せ】"&amp;D2&amp;"加算"&amp;E2&amp;F2</f>
        <v>#N/A</v>
      </c>
      <c r="C3" s="1172" t="s">
        <v>1481</v>
      </c>
      <c r="D3" s="1243"/>
    </row>
    <row r="4" spans="1:9">
      <c r="A4" s="1244" t="s">
        <v>1482</v>
      </c>
      <c r="B4" s="1245"/>
    </row>
    <row r="5" spans="1:9" ht="17.25">
      <c r="A5" s="1246" t="s">
        <v>1483</v>
      </c>
      <c r="B5" s="1247"/>
      <c r="C5" s="1247"/>
    </row>
    <row r="6" spans="1:9" ht="18" thickBot="1">
      <c r="A6" s="1248" t="s">
        <v>1484</v>
      </c>
      <c r="B6" s="1249"/>
      <c r="C6" s="1163"/>
    </row>
    <row r="7" spans="1:9" ht="17.25">
      <c r="A7" s="1250" t="s">
        <v>1380</v>
      </c>
      <c r="B7" s="1251" t="s">
        <v>1480</v>
      </c>
      <c r="C7" s="1163"/>
    </row>
    <row r="8" spans="1:9" ht="14.25">
      <c r="A8" s="1241" t="s">
        <v>1382</v>
      </c>
      <c r="B8" s="1252" t="e">
        <f>"【提出】"&amp;D2&amp;"加算"&amp;E2&amp;F2</f>
        <v>#N/A</v>
      </c>
      <c r="C8" s="1172" t="s">
        <v>1481</v>
      </c>
    </row>
    <row r="9" spans="1:9" ht="14.25">
      <c r="A9" s="1253" t="s">
        <v>1485</v>
      </c>
      <c r="B9" s="1254" t="e">
        <f>D2&amp;"加算"&amp;E2&amp;F2</f>
        <v>#N/A</v>
      </c>
      <c r="C9" s="1362" t="s">
        <v>1682</v>
      </c>
    </row>
    <row r="10" spans="1:9" ht="15" thickBot="1">
      <c r="A10" s="1255" t="s">
        <v>1384</v>
      </c>
      <c r="B10" s="1180" t="s">
        <v>1486</v>
      </c>
      <c r="C10" s="1172" t="s">
        <v>1487</v>
      </c>
    </row>
    <row r="11" spans="1:9">
      <c r="A11" s="1256" t="s">
        <v>1488</v>
      </c>
    </row>
    <row r="12" spans="1:9">
      <c r="A12" s="1257" t="s">
        <v>1489</v>
      </c>
    </row>
    <row r="13" spans="1:9" ht="17.25">
      <c r="A13" s="1246"/>
      <c r="B13" s="1258"/>
      <c r="C13" s="1258"/>
    </row>
    <row r="14" spans="1:9" ht="13.5" customHeight="1" thickBot="1">
      <c r="A14" s="1259"/>
      <c r="B14" s="1260" t="s">
        <v>1490</v>
      </c>
      <c r="C14" s="1261" t="s">
        <v>1491</v>
      </c>
    </row>
    <row r="15" spans="1:9" ht="14.25" customHeight="1">
      <c r="A15" s="1396" t="s">
        <v>1492</v>
      </c>
      <c r="B15" s="1393" t="str" cm="1">
        <f t="array" aca="1" ref="B15" ca="1">IFERROR(INDIRECT("F"&amp;SMALL($I$16:$I$29,ROW()/3-4)),"")</f>
        <v/>
      </c>
      <c r="C15" s="1265" t="str">
        <f ca="1">IF($B$15="","",$E$2&amp;"_"&amp;B15&amp;"添付書類①")</f>
        <v/>
      </c>
      <c r="F15" s="1262" t="s">
        <v>1493</v>
      </c>
      <c r="G15" s="1262" t="s">
        <v>1494</v>
      </c>
      <c r="H15" t="s">
        <v>1495</v>
      </c>
      <c r="I15" t="s">
        <v>94</v>
      </c>
    </row>
    <row r="16" spans="1:9" ht="14.25" customHeight="1">
      <c r="A16" s="1397"/>
      <c r="B16" s="1394"/>
      <c r="C16" s="1266" t="str">
        <f ca="1">IF($B$15="","",$E$2&amp;"_"&amp;B15&amp;"添付書類②")</f>
        <v/>
      </c>
      <c r="D16" t="b">
        <f ca="1">B15=""</f>
        <v>1</v>
      </c>
      <c r="F16" s="1263" t="s">
        <v>1593</v>
      </c>
      <c r="G16" t="str">
        <f>INDEX(【様式１】総括表・個票!$B$18:$B$54,MATCH(F16,【様式１】総括表・個票!$F$18:F$54,0))</f>
        <v>×</v>
      </c>
      <c r="H16" t="str">
        <f>G16</f>
        <v>×</v>
      </c>
      <c r="I16" t="str">
        <f>IF(H16="○",ROW(),"")</f>
        <v/>
      </c>
    </row>
    <row r="17" spans="1:9" ht="14.25" customHeight="1" thickBot="1">
      <c r="A17" s="1398"/>
      <c r="B17" s="1395"/>
      <c r="C17" s="1267" t="str">
        <f ca="1">IF($B$15="","",$E$2&amp;"_"&amp;B15&amp;"添付書類③")</f>
        <v/>
      </c>
      <c r="D17" t="b">
        <f ca="1">D16</f>
        <v>1</v>
      </c>
      <c r="F17" s="1263" t="s">
        <v>30</v>
      </c>
      <c r="G17" t="str">
        <f>INDEX(【様式１】総括表・個票!$B$18:$B$54,MATCH(F17,【様式１】総括表・個票!$F$18:F$54,0))</f>
        <v>×</v>
      </c>
      <c r="H17" s="1336" t="str">
        <f>G17</f>
        <v>×</v>
      </c>
      <c r="I17" t="str">
        <f>IF(H17="○",ROW(),"")</f>
        <v/>
      </c>
    </row>
    <row r="18" spans="1:9" ht="14.25" customHeight="1">
      <c r="A18" s="1390" t="s">
        <v>1496</v>
      </c>
      <c r="B18" s="1393" t="str" cm="1">
        <f t="array" aca="1" ref="B18" ca="1">IFERROR(INDIRECT("F"&amp;SMALL($I$16:$I$29,ROW()/3-4)),"")</f>
        <v/>
      </c>
      <c r="C18" s="1265" t="str">
        <f ca="1">IF($B$15="","",$E$2&amp;"_"&amp;B18&amp;"添付書類①")</f>
        <v/>
      </c>
      <c r="D18" t="b">
        <f ca="1">D16</f>
        <v>1</v>
      </c>
      <c r="F18" s="1263" t="s">
        <v>78</v>
      </c>
      <c r="G18" t="str">
        <f>INDEX(【様式１】総括表・個票!$B$18:$B$54,MATCH(F18,【様式１】総括表・個票!$F$18:F$54,0))</f>
        <v>×</v>
      </c>
      <c r="H18" s="1336" t="str">
        <f t="shared" ref="H18:H22" si="0">G18</f>
        <v>×</v>
      </c>
      <c r="I18" t="str">
        <f t="shared" ref="I18:I29" si="1">IF(H18="○",ROW(),"")</f>
        <v/>
      </c>
    </row>
    <row r="19" spans="1:9" ht="14.25" customHeight="1">
      <c r="A19" s="1391"/>
      <c r="B19" s="1394"/>
      <c r="C19" s="1266" t="str">
        <f ca="1">IF($B$15="","",$E$2&amp;"_"&amp;B18&amp;"添付書類②")</f>
        <v/>
      </c>
      <c r="D19" t="b">
        <f ca="1">B18=""</f>
        <v>1</v>
      </c>
      <c r="F19" s="1263" t="s">
        <v>360</v>
      </c>
      <c r="G19" t="str">
        <f>INDEX(【様式１】総括表・個票!$B$18:$B$54,MATCH(F19,【様式１】総括表・個票!$F$18:F$54,0))</f>
        <v>×</v>
      </c>
      <c r="H19" s="1337" t="str">
        <f t="shared" si="0"/>
        <v>×</v>
      </c>
      <c r="I19" t="str">
        <f t="shared" si="1"/>
        <v/>
      </c>
    </row>
    <row r="20" spans="1:9" ht="14.25" customHeight="1" thickBot="1">
      <c r="A20" s="1392"/>
      <c r="B20" s="1395"/>
      <c r="C20" s="1267" t="str">
        <f ca="1">IF($B$15="","",$E$2&amp;"_"&amp;B18&amp;"添付書類③")</f>
        <v/>
      </c>
      <c r="D20" t="b">
        <f ca="1">D19</f>
        <v>1</v>
      </c>
      <c r="F20" s="1263" t="s">
        <v>131</v>
      </c>
      <c r="G20" t="str">
        <f>INDEX(【様式１】総括表・個票!$B$18:$B$54,MATCH(F20,【様式１】総括表・個票!$F$18:F$54,0))</f>
        <v>エラー</v>
      </c>
      <c r="H20" s="1264" t="str">
        <f>IF(OR(G20="-",G20="エラー"),"×","○")</f>
        <v>×</v>
      </c>
      <c r="I20" t="str">
        <f t="shared" si="1"/>
        <v/>
      </c>
    </row>
    <row r="21" spans="1:9" ht="14.25" customHeight="1">
      <c r="A21" s="1390" t="s">
        <v>1497</v>
      </c>
      <c r="B21" s="1393" t="str" cm="1">
        <f t="array" aca="1" ref="B21" ca="1">IFERROR(INDIRECT("F"&amp;SMALL($I$16:$I$29,ROW()/3-4)),"")</f>
        <v/>
      </c>
      <c r="C21" s="1265" t="str">
        <f ca="1">IF($B$15="","",$E$2&amp;"_"&amp;B21&amp;"添付書類①")</f>
        <v/>
      </c>
      <c r="D21" t="b">
        <f ca="1">D19</f>
        <v>1</v>
      </c>
      <c r="F21" s="1263" t="s">
        <v>133</v>
      </c>
      <c r="G21" t="str">
        <f>INDEX(【様式１】総括表・個票!$B$18:$B$54,MATCH(F21,【様式１】総括表・個票!$F$18:F$54,0))</f>
        <v>×</v>
      </c>
      <c r="H21" s="1336" t="str">
        <f t="shared" si="0"/>
        <v>×</v>
      </c>
      <c r="I21" t="str">
        <f t="shared" si="1"/>
        <v/>
      </c>
    </row>
    <row r="22" spans="1:9" ht="14.25" customHeight="1">
      <c r="A22" s="1391"/>
      <c r="B22" s="1394"/>
      <c r="C22" s="1266" t="str">
        <f ca="1">IF($B$15="","",$E$2&amp;"_"&amp;B21&amp;"添付書類②")</f>
        <v/>
      </c>
      <c r="D22" t="b">
        <f ca="1">B21=""</f>
        <v>1</v>
      </c>
      <c r="F22" s="1263" t="s">
        <v>1504</v>
      </c>
      <c r="G22" t="str">
        <f>INDEX(【様式１】総括表・個票!$B$18:$B$54,MATCH(F22,【様式１】総括表・個票!$F$18:F$54,0))</f>
        <v>×</v>
      </c>
      <c r="H22" s="1336" t="str">
        <f t="shared" si="0"/>
        <v>×</v>
      </c>
      <c r="I22" t="str">
        <f t="shared" si="1"/>
        <v/>
      </c>
    </row>
    <row r="23" spans="1:9" ht="14.25" customHeight="1" thickBot="1">
      <c r="A23" s="1392"/>
      <c r="B23" s="1395"/>
      <c r="C23" s="1267" t="str">
        <f ca="1">IF($B$15="","",$E$2&amp;"_"&amp;B21&amp;"添付書類③")</f>
        <v/>
      </c>
      <c r="D23" t="b">
        <f ca="1">D22</f>
        <v>1</v>
      </c>
      <c r="F23" s="1263" t="s">
        <v>1279</v>
      </c>
      <c r="G23" t="str">
        <f>INDEX(【様式１】総括表・個票!$B$18:$B$54,MATCH(F23,【様式１】総括表・個票!$F$18:F$54,0))</f>
        <v>○</v>
      </c>
      <c r="H23" s="1264" t="str">
        <f>IF(G23="×","○","×")</f>
        <v>×</v>
      </c>
      <c r="I23" t="str">
        <f t="shared" si="1"/>
        <v/>
      </c>
    </row>
    <row r="24" spans="1:9" ht="14.25" customHeight="1">
      <c r="A24" s="1390" t="s">
        <v>1498</v>
      </c>
      <c r="B24" s="1393" t="str" cm="1">
        <f t="array" aca="1" ref="B24" ca="1">IFERROR(INDIRECT("F"&amp;SMALL($I$16:$I$29,ROW()/3-4)),"")</f>
        <v/>
      </c>
      <c r="C24" s="1265" t="str">
        <f ca="1">IF($B$15="","",$E$2&amp;"_"&amp;B24&amp;"添付書類①")</f>
        <v/>
      </c>
      <c r="D24" t="b">
        <f ca="1">D22</f>
        <v>1</v>
      </c>
      <c r="F24" s="1263" t="s">
        <v>1280</v>
      </c>
      <c r="G24" t="str">
        <f>INDEX(【様式１】総括表・個票!$B$18:$B$54,MATCH(F24,【様式１】総括表・個票!$F$18:F$54,0))</f>
        <v>○</v>
      </c>
      <c r="H24" s="1264" t="str">
        <f>IF(G24="×","○","×")</f>
        <v>×</v>
      </c>
      <c r="I24" t="str">
        <f t="shared" si="1"/>
        <v/>
      </c>
    </row>
    <row r="25" spans="1:9" ht="14.25" customHeight="1">
      <c r="A25" s="1391"/>
      <c r="B25" s="1394"/>
      <c r="C25" s="1266" t="str">
        <f ca="1">IF($B$15="","",$E$2&amp;"_"&amp;B24&amp;"添付書類②")</f>
        <v/>
      </c>
      <c r="D25" t="b">
        <f ca="1">B24=""</f>
        <v>1</v>
      </c>
      <c r="F25" s="1263" t="s">
        <v>1505</v>
      </c>
      <c r="G25" t="str">
        <f>INDEX(【様式１】総括表・個票!$B$18:$B$54,MATCH(F25,【様式１】総括表・個票!$F$18:F$54,0))</f>
        <v>×</v>
      </c>
      <c r="H25" s="1264" t="str">
        <f>IF(OR(G25="特児",G25="その他"),"○","×")</f>
        <v>×</v>
      </c>
      <c r="I25" t="str">
        <f t="shared" si="1"/>
        <v/>
      </c>
    </row>
    <row r="26" spans="1:9" ht="14.25" customHeight="1" thickBot="1">
      <c r="A26" s="1392"/>
      <c r="B26" s="1395"/>
      <c r="C26" s="1267" t="str">
        <f ca="1">IF($B$15="","",$E$2&amp;"_"&amp;B24&amp;"添付書類③")</f>
        <v/>
      </c>
      <c r="D26" t="b">
        <f ca="1">D25</f>
        <v>1</v>
      </c>
      <c r="F26" s="1263" t="s">
        <v>1506</v>
      </c>
      <c r="G26" t="str">
        <f>INDEX(【様式１】総括表・個票!$B$18:$B$54,MATCH(F26,【様式１】総括表・個票!$F$18:F$54,0))</f>
        <v>×</v>
      </c>
      <c r="H26" s="1336" t="str">
        <f t="shared" ref="H26:H28" si="2">G26</f>
        <v>×</v>
      </c>
      <c r="I26" t="str">
        <f t="shared" si="1"/>
        <v/>
      </c>
    </row>
    <row r="27" spans="1:9" ht="14.25" customHeight="1">
      <c r="A27" s="1390" t="s">
        <v>1499</v>
      </c>
      <c r="B27" s="1393" t="str" cm="1">
        <f t="array" aca="1" ref="B27" ca="1">IFERROR(INDIRECT("F"&amp;SMALL($I$16:$I$29,ROW()/3-4)),"")</f>
        <v/>
      </c>
      <c r="C27" s="1265" t="str">
        <f ca="1">IF($B$15="","",$E$2&amp;"_"&amp;B27&amp;"添付書類①")</f>
        <v/>
      </c>
      <c r="D27" t="b">
        <f ca="1">D25</f>
        <v>1</v>
      </c>
      <c r="F27" s="1263" t="s">
        <v>1507</v>
      </c>
      <c r="G27" t="str">
        <f>INDEX(【様式１】総括表・個票!$B$18:$B$54,MATCH(F27,【様式１】総括表・個票!$F$18:F$54,0))</f>
        <v>×</v>
      </c>
      <c r="H27" s="1336" t="str">
        <f t="shared" si="2"/>
        <v>×</v>
      </c>
      <c r="I27" t="str">
        <f t="shared" si="1"/>
        <v/>
      </c>
    </row>
    <row r="28" spans="1:9" ht="14.25" customHeight="1">
      <c r="A28" s="1391"/>
      <c r="B28" s="1394"/>
      <c r="C28" s="1266" t="str">
        <f ca="1">IF($B$15="","",$E$2&amp;"_"&amp;B27&amp;"添付書類②")</f>
        <v/>
      </c>
      <c r="D28" t="b">
        <f ca="1">B27=""</f>
        <v>1</v>
      </c>
      <c r="F28" s="1263" t="s">
        <v>1508</v>
      </c>
      <c r="G28" t="str">
        <f>INDEX(【様式１】総括表・個票!$B$18:$B$54,MATCH(F28,【様式１】総括表・個票!$F$18:F$54,0))</f>
        <v>×</v>
      </c>
      <c r="H28" s="1336" t="str">
        <f t="shared" si="2"/>
        <v>×</v>
      </c>
      <c r="I28" t="str">
        <f t="shared" si="1"/>
        <v/>
      </c>
    </row>
    <row r="29" spans="1:9" ht="14.25" customHeight="1" thickBot="1">
      <c r="A29" s="1392"/>
      <c r="B29" s="1395"/>
      <c r="C29" s="1267" t="str">
        <f ca="1">IF($B$15="","",$E$2&amp;"_"&amp;B27&amp;"添付書類③")</f>
        <v/>
      </c>
      <c r="D29" t="b">
        <f ca="1">D28</f>
        <v>1</v>
      </c>
      <c r="F29" s="1338" t="s">
        <v>1509</v>
      </c>
      <c r="G29" t="str">
        <f>INDEX(【様式１】総括表・個票!$B$18:$B$54,MATCH(F29,【様式１】総括表・個票!$F$18:F$54,0))</f>
        <v>×</v>
      </c>
      <c r="H29" s="1264" t="str">
        <f>IF(G29="×","×",IF(G29="適用月エラー","×","○"))</f>
        <v>×</v>
      </c>
      <c r="I29" t="str">
        <f t="shared" si="1"/>
        <v/>
      </c>
    </row>
    <row r="30" spans="1:9" ht="14.25" customHeight="1">
      <c r="A30" s="1390" t="s">
        <v>1500</v>
      </c>
      <c r="B30" s="1393" t="str" cm="1">
        <f t="array" aca="1" ref="B30" ca="1">IFERROR(INDIRECT("F"&amp;SMALL($I$16:$I$29,ROW()/3-4)),"")</f>
        <v/>
      </c>
      <c r="C30" s="1265" t="str">
        <f ca="1">IF($B$15="","",$E$2&amp;"_"&amp;B30&amp;"添付書類①")</f>
        <v/>
      </c>
      <c r="D30" t="b">
        <f ca="1">D28</f>
        <v>1</v>
      </c>
    </row>
    <row r="31" spans="1:9" ht="14.25" customHeight="1">
      <c r="A31" s="1391"/>
      <c r="B31" s="1394"/>
      <c r="C31" s="1266" t="str">
        <f ca="1">IF($B$15="","",$E$2&amp;"_"&amp;B30&amp;"添付書類②")</f>
        <v/>
      </c>
      <c r="D31" t="b">
        <f ca="1">B30=""</f>
        <v>1</v>
      </c>
    </row>
    <row r="32" spans="1:9" ht="14.25" customHeight="1" thickBot="1">
      <c r="A32" s="1392"/>
      <c r="B32" s="1395"/>
      <c r="C32" s="1267" t="str">
        <f ca="1">IF($B$15="","",$E$2&amp;"_"&amp;B30&amp;"添付書類③")</f>
        <v/>
      </c>
      <c r="D32" t="b">
        <f ca="1">D31</f>
        <v>1</v>
      </c>
    </row>
    <row r="33" spans="1:4" ht="14.25" customHeight="1">
      <c r="A33" s="1390" t="s">
        <v>1501</v>
      </c>
      <c r="B33" s="1393" t="str" cm="1">
        <f t="array" aca="1" ref="B33" ca="1">IFERROR(INDIRECT("F"&amp;SMALL($I$16:$I$29,ROW()/3-4)),"")</f>
        <v/>
      </c>
      <c r="C33" s="1265" t="str">
        <f ca="1">IF($B$15="","",$E$2&amp;"_"&amp;B33&amp;"添付書類①")</f>
        <v/>
      </c>
      <c r="D33" t="b">
        <f ca="1">D31</f>
        <v>1</v>
      </c>
    </row>
    <row r="34" spans="1:4" ht="14.25" customHeight="1">
      <c r="A34" s="1391"/>
      <c r="B34" s="1394"/>
      <c r="C34" s="1266" t="str">
        <f ca="1">IF($B$15="","",$E$2&amp;"_"&amp;B33&amp;"添付書類②")</f>
        <v/>
      </c>
      <c r="D34" t="b">
        <f ca="1">B33=""</f>
        <v>1</v>
      </c>
    </row>
    <row r="35" spans="1:4" ht="14.25" customHeight="1" thickBot="1">
      <c r="A35" s="1392"/>
      <c r="B35" s="1395"/>
      <c r="C35" s="1267" t="str">
        <f ca="1">IF($B$15="","",$E$2&amp;"_"&amp;B33&amp;"添付書類③")</f>
        <v/>
      </c>
      <c r="D35" t="b">
        <f ca="1">D34</f>
        <v>1</v>
      </c>
    </row>
    <row r="36" spans="1:4" ht="14.25" customHeight="1">
      <c r="A36" s="1390" t="s">
        <v>1502</v>
      </c>
      <c r="B36" s="1393" t="str" cm="1">
        <f t="array" aca="1" ref="B36" ca="1">IFERROR(INDIRECT("F"&amp;SMALL($I$16:$I$29,ROW()/3-4)),"")</f>
        <v/>
      </c>
      <c r="C36" s="1265" t="str">
        <f ca="1">IF($B$15="","",$E$2&amp;"_"&amp;B36&amp;"添付書類①")</f>
        <v/>
      </c>
      <c r="D36" t="b">
        <f ca="1">D34</f>
        <v>1</v>
      </c>
    </row>
    <row r="37" spans="1:4" ht="14.25" customHeight="1">
      <c r="A37" s="1391"/>
      <c r="B37" s="1394"/>
      <c r="C37" s="1266" t="str">
        <f ca="1">IF($B$15="","",$E$2&amp;"_"&amp;B36&amp;"添付書類②")</f>
        <v/>
      </c>
      <c r="D37" t="b">
        <f ca="1">B36=""</f>
        <v>1</v>
      </c>
    </row>
    <row r="38" spans="1:4" ht="14.25" customHeight="1" thickBot="1">
      <c r="A38" s="1392"/>
      <c r="B38" s="1395"/>
      <c r="C38" s="1267" t="str">
        <f ca="1">IF($B$15="","",$E$2&amp;"_"&amp;B36&amp;"添付書類③")</f>
        <v/>
      </c>
      <c r="D38" t="b">
        <f ca="1">D37</f>
        <v>1</v>
      </c>
    </row>
    <row r="39" spans="1:4" ht="14.25" customHeight="1">
      <c r="A39" s="1390" t="s">
        <v>1503</v>
      </c>
      <c r="B39" s="1393" t="str" cm="1">
        <f t="array" aca="1" ref="B39" ca="1">IFERROR(INDIRECT("F"&amp;SMALL($I$16:$I$29,ROW()/3-4)),"")</f>
        <v/>
      </c>
      <c r="C39" s="1265" t="str">
        <f ca="1">IF($B$15="","",$E$2&amp;"_"&amp;B39&amp;"添付書類①")</f>
        <v/>
      </c>
      <c r="D39" t="b">
        <f ca="1">D37</f>
        <v>1</v>
      </c>
    </row>
    <row r="40" spans="1:4" ht="14.25" customHeight="1">
      <c r="A40" s="1391"/>
      <c r="B40" s="1394"/>
      <c r="C40" s="1266" t="str">
        <f ca="1">IF($B$15="","",$E$2&amp;"_"&amp;B39&amp;"添付書類②")</f>
        <v/>
      </c>
      <c r="D40" t="b">
        <f ca="1">B39=""</f>
        <v>1</v>
      </c>
    </row>
    <row r="41" spans="1:4" ht="14.25" customHeight="1" thickBot="1">
      <c r="A41" s="1392"/>
      <c r="B41" s="1395"/>
      <c r="C41" s="1267" t="str">
        <f ca="1">IF($B$15="","",$E$2&amp;"_"&amp;B39&amp;"添付書類③")</f>
        <v/>
      </c>
      <c r="D41" t="b">
        <f ca="1">D40</f>
        <v>1</v>
      </c>
    </row>
    <row r="42" spans="1:4">
      <c r="A42" s="1390" t="s">
        <v>1510</v>
      </c>
      <c r="B42" s="1393" t="str" cm="1">
        <f t="array" aca="1" ref="B42" ca="1">IFERROR(INDIRECT("F"&amp;SMALL($I$16:$I$29,ROW()/3-4)),"")</f>
        <v/>
      </c>
      <c r="C42" s="1265" t="str">
        <f ca="1">IF($B$15="","",$E$2&amp;"_"&amp;B42&amp;"添付書類①")</f>
        <v/>
      </c>
      <c r="D42" t="b">
        <f ca="1">D40</f>
        <v>1</v>
      </c>
    </row>
    <row r="43" spans="1:4">
      <c r="A43" s="1391"/>
      <c r="B43" s="1394"/>
      <c r="C43" s="1266" t="str">
        <f ca="1">IF($B$15="","",$E$2&amp;"_"&amp;B42&amp;"添付書類②")</f>
        <v/>
      </c>
      <c r="D43" t="b">
        <f ca="1">B42=""</f>
        <v>1</v>
      </c>
    </row>
    <row r="44" spans="1:4" ht="14.25" thickBot="1">
      <c r="A44" s="1392"/>
      <c r="B44" s="1395"/>
      <c r="C44" s="1267" t="str">
        <f ca="1">IF($B$15="","",$E$2&amp;"_"&amp;B42&amp;"添付書類③")</f>
        <v/>
      </c>
      <c r="D44" t="b">
        <f ca="1">D43</f>
        <v>1</v>
      </c>
    </row>
    <row r="45" spans="1:4" ht="13.5" customHeight="1">
      <c r="A45" s="1390" t="s">
        <v>1511</v>
      </c>
      <c r="B45" s="1393" t="str" cm="1">
        <f t="array" aca="1" ref="B45" ca="1">IFERROR(INDIRECT("F"&amp;SMALL($I$16:$I$29,ROW()/3-4)),"")</f>
        <v/>
      </c>
      <c r="C45" s="1265" t="str">
        <f ca="1">IF($B$15="","",$E$2&amp;"_"&amp;B45&amp;"添付書類①")</f>
        <v/>
      </c>
      <c r="D45" t="b">
        <f t="shared" ref="D45" ca="1" si="3">D43</f>
        <v>1</v>
      </c>
    </row>
    <row r="46" spans="1:4">
      <c r="A46" s="1391"/>
      <c r="B46" s="1394"/>
      <c r="C46" s="1266" t="str">
        <f ca="1">IF($B$15="","",$E$2&amp;"_"&amp;B45&amp;"添付書類②")</f>
        <v/>
      </c>
      <c r="D46" t="b">
        <f t="shared" ref="D46" ca="1" si="4">B45=""</f>
        <v>1</v>
      </c>
    </row>
    <row r="47" spans="1:4" ht="14.25" thickBot="1">
      <c r="A47" s="1392"/>
      <c r="B47" s="1395"/>
      <c r="C47" s="1267" t="str">
        <f ca="1">IF($B$15="","",$E$2&amp;"_"&amp;B45&amp;"添付書類③")</f>
        <v/>
      </c>
      <c r="D47" t="b">
        <f t="shared" ref="D47" ca="1" si="5">D46</f>
        <v>1</v>
      </c>
    </row>
    <row r="48" spans="1:4">
      <c r="A48" s="1390" t="s">
        <v>1512</v>
      </c>
      <c r="B48" s="1393" t="str" cm="1">
        <f t="array" aca="1" ref="B48" ca="1">IFERROR(INDIRECT("F"&amp;SMALL($I$16:$I$29,ROW()/3-4)),"")</f>
        <v/>
      </c>
      <c r="C48" s="1265" t="str">
        <f ca="1">IF($B$15="","",$E$2&amp;"_"&amp;B48&amp;"添付書類①")</f>
        <v/>
      </c>
      <c r="D48" t="b">
        <f t="shared" ref="D48" ca="1" si="6">D46</f>
        <v>1</v>
      </c>
    </row>
    <row r="49" spans="1:4">
      <c r="A49" s="1391"/>
      <c r="B49" s="1394"/>
      <c r="C49" s="1266" t="str">
        <f ca="1">IF($B$15="","",$E$2&amp;"_"&amp;B48&amp;"添付書類②")</f>
        <v/>
      </c>
      <c r="D49" t="b">
        <f t="shared" ref="D49" ca="1" si="7">B48=""</f>
        <v>1</v>
      </c>
    </row>
    <row r="50" spans="1:4" ht="13.5" customHeight="1" thickBot="1">
      <c r="A50" s="1392"/>
      <c r="B50" s="1395"/>
      <c r="C50" s="1267" t="str">
        <f ca="1">IF($B$15="","",$E$2&amp;"_"&amp;B48&amp;"添付書類③")</f>
        <v/>
      </c>
      <c r="D50" t="b">
        <f t="shared" ref="D50" ca="1" si="8">D49</f>
        <v>1</v>
      </c>
    </row>
    <row r="51" spans="1:4">
      <c r="A51" s="1390" t="s">
        <v>1513</v>
      </c>
      <c r="B51" s="1393" t="str" cm="1">
        <f t="array" aca="1" ref="B51" ca="1">IFERROR(INDIRECT("F"&amp;SMALL($I$16:$I$29,ROW()/3-4)),"")</f>
        <v/>
      </c>
      <c r="C51" s="1265" t="str">
        <f ca="1">IF($B$15="","",$E$2&amp;"_"&amp;B51&amp;"添付書類①")</f>
        <v/>
      </c>
      <c r="D51" t="b">
        <f t="shared" ref="D51" ca="1" si="9">D49</f>
        <v>1</v>
      </c>
    </row>
    <row r="52" spans="1:4" ht="13.5" customHeight="1">
      <c r="A52" s="1391"/>
      <c r="B52" s="1394"/>
      <c r="C52" s="1266" t="str">
        <f ca="1">IF($B$15="","",$E$2&amp;"_"&amp;B51&amp;"添付書類②")</f>
        <v/>
      </c>
      <c r="D52" t="b">
        <f t="shared" ref="D52" ca="1" si="10">B51=""</f>
        <v>1</v>
      </c>
    </row>
    <row r="53" spans="1:4" ht="13.5" customHeight="1" thickBot="1">
      <c r="A53" s="1392"/>
      <c r="B53" s="1395"/>
      <c r="C53" s="1267" t="str">
        <f ca="1">IF($B$15="","",$E$2&amp;"_"&amp;B51&amp;"添付書類③")</f>
        <v/>
      </c>
      <c r="D53" t="b">
        <f t="shared" ref="D53" ca="1" si="11">D52</f>
        <v>1</v>
      </c>
    </row>
    <row r="54" spans="1:4" ht="13.5" customHeight="1"/>
    <row r="58" spans="1:4" ht="13.5" customHeight="1"/>
    <row r="60" spans="1:4" ht="13.5" customHeight="1"/>
    <row r="62" spans="1:4" ht="13.5" customHeight="1"/>
    <row r="64" spans="1:4" ht="13.5" customHeight="1"/>
    <row r="72" ht="13.5" customHeight="1"/>
    <row r="73" ht="13.5" customHeight="1"/>
    <row r="74" ht="13.5" customHeight="1"/>
    <row r="75" ht="13.5" customHeight="1"/>
    <row r="76" ht="13.5" customHeight="1"/>
    <row r="77" ht="13.5" customHeight="1"/>
    <row r="78" ht="13.5" customHeight="1"/>
    <row r="79" ht="13.5" customHeight="1"/>
    <row r="98" ht="13.5" customHeight="1"/>
    <row r="99" ht="13.5" customHeight="1"/>
    <row r="100" ht="13.5" customHeight="1"/>
    <row r="101" ht="13.5" customHeight="1"/>
    <row r="104" ht="13.5" customHeight="1"/>
    <row r="119" ht="13.5" customHeight="1"/>
    <row r="121" ht="13.5" customHeight="1"/>
    <row r="123" ht="13.5" customHeight="1"/>
    <row r="125" ht="13.5" customHeight="1"/>
    <row r="141" ht="13.5" customHeight="1"/>
    <row r="142"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sheetData>
  <sheetProtection algorithmName="SHA-512" hashValue="+rPzmaTMkYh6xzIDcivqSset+d8TVZqPERhLZ37GfdfhCopeinvD62ccPlRP8e+T5ZWmULWzVoiVWTVTOQGEwA==" saltValue="ecB3tsNQr0U5eKPqZhyDng==" spinCount="100000" sheet="1" objects="1" scenarios="1"/>
  <mergeCells count="26">
    <mergeCell ref="A48:A50"/>
    <mergeCell ref="B48:B50"/>
    <mergeCell ref="A51:A53"/>
    <mergeCell ref="B51:B53"/>
    <mergeCell ref="A33:A35"/>
    <mergeCell ref="B33:B35"/>
    <mergeCell ref="A36:A38"/>
    <mergeCell ref="B36:B38"/>
    <mergeCell ref="A45:A47"/>
    <mergeCell ref="B45:B47"/>
    <mergeCell ref="A39:A41"/>
    <mergeCell ref="B39:B41"/>
    <mergeCell ref="A42:A44"/>
    <mergeCell ref="B42:B44"/>
    <mergeCell ref="A15:A17"/>
    <mergeCell ref="B15:B17"/>
    <mergeCell ref="A18:A20"/>
    <mergeCell ref="B18:B20"/>
    <mergeCell ref="A21:A23"/>
    <mergeCell ref="B21:B23"/>
    <mergeCell ref="A24:A26"/>
    <mergeCell ref="B24:B26"/>
    <mergeCell ref="A27:A29"/>
    <mergeCell ref="B27:B29"/>
    <mergeCell ref="A30:A32"/>
    <mergeCell ref="B30:B32"/>
  </mergeCells>
  <phoneticPr fontId="1"/>
  <pageMargins left="0.7" right="0.7" top="0.75" bottom="0.75" header="0.3" footer="0.3"/>
  <pageSetup paperSize="9" scale="73" fitToHeight="0" orientation="portrait" r:id="rId1"/>
  <rowBreaks count="2" manualBreakCount="2">
    <brk id="57" max="2" man="1"/>
    <brk id="118" max="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pageSetUpPr fitToPage="1"/>
  </sheetPr>
  <dimension ref="A1:BO499"/>
  <sheetViews>
    <sheetView tabSelected="1" view="pageBreakPreview" zoomScale="90" zoomScaleNormal="100" zoomScaleSheetLayoutView="90" workbookViewId="0"/>
  </sheetViews>
  <sheetFormatPr defaultColWidth="9" defaultRowHeight="12" outlineLevelCol="1"/>
  <cols>
    <col min="1" max="21" width="2.875" style="65" customWidth="1"/>
    <col min="22" max="26" width="3.125" style="65" customWidth="1"/>
    <col min="27" max="27" width="4.375" style="65" customWidth="1"/>
    <col min="28" max="33" width="2.875" style="65" customWidth="1"/>
    <col min="34" max="34" width="50.625" style="65" customWidth="1"/>
    <col min="35" max="35" width="9.5" style="65" hidden="1" customWidth="1" outlineLevel="1"/>
    <col min="36" max="37" width="9" style="65" hidden="1" customWidth="1" outlineLevel="1"/>
    <col min="38" max="38" width="9.5" style="65" hidden="1" customWidth="1" outlineLevel="1"/>
    <col min="39" max="39" width="13" style="65" hidden="1" customWidth="1" outlineLevel="1"/>
    <col min="40" max="61" width="9" style="65" hidden="1" customWidth="1" outlineLevel="1"/>
    <col min="62" max="62" width="9" style="65" collapsed="1"/>
    <col min="63" max="16384" width="9" style="65"/>
  </cols>
  <sheetData>
    <row r="1" spans="1:52" ht="15" customHeight="1" thickBot="1">
      <c r="A1" s="813" t="s">
        <v>530</v>
      </c>
      <c r="B1" s="814"/>
      <c r="C1" s="814"/>
      <c r="D1" s="814"/>
      <c r="E1" s="814"/>
      <c r="F1" s="814"/>
      <c r="G1" s="814"/>
      <c r="H1" s="814"/>
      <c r="I1" s="815"/>
      <c r="J1" s="815"/>
      <c r="K1" s="815"/>
      <c r="L1" s="815"/>
      <c r="M1" s="815"/>
      <c r="N1" s="815"/>
      <c r="O1" s="815"/>
      <c r="P1" s="815"/>
      <c r="Q1" s="815"/>
      <c r="R1" s="815"/>
      <c r="S1" s="815"/>
      <c r="T1" s="815"/>
      <c r="U1" s="815"/>
      <c r="V1" s="815"/>
      <c r="W1" s="815"/>
      <c r="X1" s="2119" t="str">
        <f>AJ2&amp;"様式1 "&amp;AJ3</f>
        <v>加-25_4月申-様式1 -認_Ver.4.02</v>
      </c>
      <c r="Y1" s="2119"/>
      <c r="Z1" s="2119"/>
      <c r="AA1" s="2119"/>
      <c r="AB1" s="2119"/>
      <c r="AC1" s="2119"/>
      <c r="AD1" s="2119"/>
      <c r="AE1" s="2119"/>
      <c r="AF1" s="2119"/>
      <c r="AG1" s="2120"/>
      <c r="AJ1" s="69" t="s">
        <v>570</v>
      </c>
      <c r="AK1" s="69" t="s">
        <v>80</v>
      </c>
      <c r="AL1" s="1577" t="s">
        <v>85</v>
      </c>
      <c r="AM1" s="1828"/>
      <c r="AN1" s="51" t="s">
        <v>232</v>
      </c>
      <c r="AO1" s="70" t="s">
        <v>244</v>
      </c>
      <c r="AP1" s="51" t="s">
        <v>84</v>
      </c>
      <c r="AQ1" s="69" t="s">
        <v>245</v>
      </c>
      <c r="AR1" s="69" t="s">
        <v>83</v>
      </c>
      <c r="AS1" s="1577" t="s">
        <v>86</v>
      </c>
      <c r="AT1" s="1578"/>
      <c r="AU1" s="1577" t="s">
        <v>87</v>
      </c>
      <c r="AV1" s="1814"/>
      <c r="AW1" s="69" t="s">
        <v>248</v>
      </c>
      <c r="AX1" s="69" t="s">
        <v>1236</v>
      </c>
      <c r="AY1" s="51" t="s">
        <v>1237</v>
      </c>
      <c r="AZ1" s="69" t="s">
        <v>1165</v>
      </c>
    </row>
    <row r="2" spans="1:52" ht="15" customHeight="1" thickTop="1" thickBot="1">
      <c r="A2" s="659"/>
      <c r="B2" s="314"/>
      <c r="C2" s="314"/>
      <c r="D2" s="314"/>
      <c r="E2" s="314"/>
      <c r="F2" s="314"/>
      <c r="G2" s="314"/>
      <c r="H2" s="314"/>
      <c r="I2" s="660"/>
      <c r="J2" s="660"/>
      <c r="K2" s="660"/>
      <c r="L2" s="660"/>
      <c r="M2" s="660"/>
      <c r="N2" s="660"/>
      <c r="O2" s="660"/>
      <c r="P2" s="660"/>
      <c r="Q2" s="660"/>
      <c r="R2" s="660"/>
      <c r="S2" s="660"/>
      <c r="T2" s="660"/>
      <c r="U2" s="660"/>
      <c r="V2" s="660"/>
      <c r="W2" s="660"/>
      <c r="X2" s="314"/>
      <c r="Y2" s="314"/>
      <c r="Z2" s="314"/>
      <c r="AA2" s="314"/>
      <c r="AB2" s="314"/>
      <c r="AC2" s="210"/>
      <c r="AD2" s="210"/>
      <c r="AE2" s="210"/>
      <c r="AF2" s="210"/>
      <c r="AG2" s="661"/>
      <c r="AJ2" s="51" t="str">
        <f>"加-"&amp;MID($AK$2,3,2)&amp;"_"&amp;$I$10&amp;"月"&amp;"申-"</f>
        <v>加-25_4月申-</v>
      </c>
      <c r="AK2" s="1202">
        <v>2025</v>
      </c>
      <c r="AL2" s="567"/>
      <c r="AM2" s="69"/>
      <c r="AN2" s="51"/>
      <c r="AO2" s="69" t="s">
        <v>1222</v>
      </c>
      <c r="AP2" s="103"/>
      <c r="AQ2" s="69"/>
      <c r="AR2" s="69"/>
      <c r="AS2" s="1"/>
      <c r="AT2" s="1"/>
      <c r="AU2" s="69">
        <v>0</v>
      </c>
      <c r="AV2" s="76">
        <v>1</v>
      </c>
      <c r="AW2" s="69"/>
      <c r="AX2" s="69"/>
      <c r="AY2" s="51"/>
      <c r="AZ2" s="69"/>
    </row>
    <row r="3" spans="1:52" ht="15" customHeight="1" thickTop="1" thickBot="1">
      <c r="A3" s="1857" t="str">
        <f>+AK2&amp;"年度施設型給付費等にかかる加算（調整）適用申請書"</f>
        <v>2025年度施設型給付費等にかかる加算（調整）適用申請書</v>
      </c>
      <c r="B3" s="1858"/>
      <c r="C3" s="1858"/>
      <c r="D3" s="1858"/>
      <c r="E3" s="1858"/>
      <c r="F3" s="1858"/>
      <c r="G3" s="1858"/>
      <c r="H3" s="1858"/>
      <c r="I3" s="1858"/>
      <c r="J3" s="1858"/>
      <c r="K3" s="1858"/>
      <c r="L3" s="1858"/>
      <c r="M3" s="1858"/>
      <c r="N3" s="1858"/>
      <c r="O3" s="1858"/>
      <c r="P3" s="1858"/>
      <c r="Q3" s="1858"/>
      <c r="R3" s="1858"/>
      <c r="S3" s="1858"/>
      <c r="T3" s="1858"/>
      <c r="U3" s="1858"/>
      <c r="V3" s="1858"/>
      <c r="W3" s="1858"/>
      <c r="X3" s="1858"/>
      <c r="Y3" s="1858"/>
      <c r="Z3" s="1858"/>
      <c r="AA3" s="1858"/>
      <c r="AB3" s="1858"/>
      <c r="AC3" s="1858"/>
      <c r="AD3" s="1858"/>
      <c r="AE3" s="314"/>
      <c r="AF3" s="314"/>
      <c r="AG3" s="662"/>
      <c r="AJ3" s="69" t="str">
        <f>"-"&amp;MID(AO2,3,1)&amp;IFERROR(VLOOKUP($D$12,'施設状況 (要更新)'!$F$4:$S$601,14,FALSE),"")&amp;"_Ver."&amp;TEXT(ver!$B$18,"#.00")</f>
        <v>-認_Ver.4.02</v>
      </c>
      <c r="AK3" s="808"/>
      <c r="AL3" s="69">
        <v>4</v>
      </c>
      <c r="AM3" s="69">
        <v>1</v>
      </c>
      <c r="AN3" s="69" t="s">
        <v>235</v>
      </c>
      <c r="AO3" s="809" t="s">
        <v>395</v>
      </c>
      <c r="AP3" s="51" t="s">
        <v>69</v>
      </c>
      <c r="AQ3" s="69" t="s">
        <v>246</v>
      </c>
      <c r="AR3" s="69" t="s">
        <v>81</v>
      </c>
      <c r="AS3" s="71">
        <v>1</v>
      </c>
      <c r="AT3" s="71" t="str">
        <f>【様式５】職員数算出表!AS3</f>
        <v/>
      </c>
      <c r="AU3" s="71" t="s">
        <v>53</v>
      </c>
      <c r="AV3" s="51">
        <v>1</v>
      </c>
      <c r="AW3" s="69">
        <v>1</v>
      </c>
      <c r="AX3" s="69">
        <v>1</v>
      </c>
      <c r="AY3" s="51" t="s">
        <v>1238</v>
      </c>
      <c r="AZ3" s="69" t="s">
        <v>1166</v>
      </c>
    </row>
    <row r="4" spans="1:52" ht="15" customHeight="1" thickTop="1" thickBot="1">
      <c r="A4" s="659"/>
      <c r="B4" s="314"/>
      <c r="C4" s="314"/>
      <c r="D4" s="314"/>
      <c r="E4" s="314"/>
      <c r="F4" s="314"/>
      <c r="G4" s="314"/>
      <c r="H4" s="314"/>
      <c r="I4" s="314"/>
      <c r="J4" s="314"/>
      <c r="K4" s="314"/>
      <c r="L4" s="314"/>
      <c r="M4" s="314"/>
      <c r="N4" s="314"/>
      <c r="O4" s="314"/>
      <c r="P4" s="314"/>
      <c r="Q4" s="314"/>
      <c r="R4" s="314"/>
      <c r="S4" s="314"/>
      <c r="T4" s="314"/>
      <c r="U4" s="314"/>
      <c r="V4" s="314"/>
      <c r="W4" s="1859">
        <f>VLOOKUP(I10,$AL$18:$AM$31,2,0)</f>
        <v>45820</v>
      </c>
      <c r="X4" s="1859"/>
      <c r="Y4" s="1859"/>
      <c r="Z4" s="1859"/>
      <c r="AA4" s="1859"/>
      <c r="AB4" s="1859"/>
      <c r="AC4" s="1859"/>
      <c r="AD4" s="1859"/>
      <c r="AE4" s="314"/>
      <c r="AF4" s="314"/>
      <c r="AG4" s="662"/>
      <c r="AL4" s="69">
        <v>5</v>
      </c>
      <c r="AM4" s="69">
        <v>2</v>
      </c>
      <c r="AN4" s="69" t="s">
        <v>236</v>
      </c>
      <c r="AO4" s="1203" t="s">
        <v>396</v>
      </c>
      <c r="AP4" s="51" t="s">
        <v>249</v>
      </c>
      <c r="AQ4" s="69" t="s">
        <v>247</v>
      </c>
      <c r="AR4" s="69" t="s">
        <v>82</v>
      </c>
      <c r="AS4" s="71">
        <v>2</v>
      </c>
      <c r="AT4" s="71" t="str">
        <f>【様式５】職員数算出表!AS4</f>
        <v/>
      </c>
      <c r="AU4" s="71" t="s">
        <v>54</v>
      </c>
      <c r="AV4" s="51">
        <v>2</v>
      </c>
      <c r="AW4" s="69">
        <v>2</v>
      </c>
      <c r="AX4" s="69">
        <v>2</v>
      </c>
      <c r="AY4" s="51" t="s">
        <v>1239</v>
      </c>
      <c r="AZ4" s="69" t="s">
        <v>1167</v>
      </c>
    </row>
    <row r="5" spans="1:52" ht="12.75" thickTop="1">
      <c r="A5" s="659" t="s">
        <v>70</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662"/>
      <c r="AL5" s="69">
        <v>6</v>
      </c>
      <c r="AM5" s="69">
        <v>3</v>
      </c>
      <c r="AN5" s="69" t="s">
        <v>237</v>
      </c>
      <c r="AS5" s="71">
        <v>3</v>
      </c>
      <c r="AT5" s="71" t="str">
        <f>【様式５】職員数算出表!AS5</f>
        <v/>
      </c>
      <c r="AU5" s="71" t="s">
        <v>55</v>
      </c>
      <c r="AV5" s="51">
        <v>3</v>
      </c>
      <c r="AW5" s="69">
        <v>3</v>
      </c>
      <c r="AX5" s="69">
        <v>3</v>
      </c>
      <c r="AZ5" s="69" t="s">
        <v>1168</v>
      </c>
    </row>
    <row r="6" spans="1:52" ht="15" customHeight="1">
      <c r="A6" s="659"/>
      <c r="B6" s="314"/>
      <c r="C6" s="314"/>
      <c r="D6" s="314"/>
      <c r="E6" s="314"/>
      <c r="F6" s="314"/>
      <c r="G6" s="314"/>
      <c r="H6" s="314"/>
      <c r="I6" s="314"/>
      <c r="J6" s="314"/>
      <c r="K6" s="314"/>
      <c r="L6" s="314"/>
      <c r="M6" s="314"/>
      <c r="N6" s="314"/>
      <c r="O6" s="314"/>
      <c r="P6" s="1862" t="s">
        <v>13</v>
      </c>
      <c r="Q6" s="1863"/>
      <c r="R6" s="1863"/>
      <c r="S6" s="3219"/>
      <c r="T6" s="3220"/>
      <c r="U6" s="3220"/>
      <c r="V6" s="3220"/>
      <c r="W6" s="3220"/>
      <c r="X6" s="3220"/>
      <c r="Y6" s="3220"/>
      <c r="Z6" s="3220"/>
      <c r="AA6" s="3220"/>
      <c r="AB6" s="3220"/>
      <c r="AC6" s="3220"/>
      <c r="AD6" s="3221"/>
      <c r="AE6" s="663"/>
      <c r="AF6" s="314"/>
      <c r="AG6" s="662"/>
      <c r="AL6" s="69">
        <v>7</v>
      </c>
      <c r="AM6" s="69">
        <v>4</v>
      </c>
      <c r="AN6" s="69" t="s">
        <v>238</v>
      </c>
      <c r="AS6" s="71">
        <v>3.5</v>
      </c>
      <c r="AT6" s="71" t="str">
        <f>【様式５】職員数算出表!AS6</f>
        <v/>
      </c>
      <c r="AU6" s="71" t="s">
        <v>56</v>
      </c>
      <c r="AV6" s="51">
        <v>4</v>
      </c>
      <c r="AW6" s="69">
        <v>4</v>
      </c>
      <c r="AX6" s="69">
        <v>4</v>
      </c>
      <c r="AZ6" s="69" t="s">
        <v>1169</v>
      </c>
    </row>
    <row r="7" spans="1:52" ht="15" customHeight="1">
      <c r="A7" s="659"/>
      <c r="B7" s="314"/>
      <c r="C7" s="314"/>
      <c r="D7" s="314"/>
      <c r="E7" s="314"/>
      <c r="F7" s="314"/>
      <c r="G7" s="314"/>
      <c r="H7" s="314"/>
      <c r="I7" s="314"/>
      <c r="J7" s="314"/>
      <c r="K7" s="314"/>
      <c r="L7" s="314"/>
      <c r="M7" s="314"/>
      <c r="N7" s="314"/>
      <c r="O7" s="314"/>
      <c r="P7" s="1829" t="s">
        <v>14</v>
      </c>
      <c r="Q7" s="1830"/>
      <c r="R7" s="1830"/>
      <c r="S7" s="3222"/>
      <c r="T7" s="3223"/>
      <c r="U7" s="3223"/>
      <c r="V7" s="3223"/>
      <c r="W7" s="3223"/>
      <c r="X7" s="3223"/>
      <c r="Y7" s="3223"/>
      <c r="Z7" s="3223"/>
      <c r="AA7" s="3223"/>
      <c r="AB7" s="3223"/>
      <c r="AC7" s="3223"/>
      <c r="AD7" s="3224"/>
      <c r="AE7" s="663"/>
      <c r="AF7" s="314"/>
      <c r="AG7" s="662"/>
      <c r="AL7" s="69">
        <v>8</v>
      </c>
      <c r="AM7" s="69">
        <v>5</v>
      </c>
      <c r="AN7" s="69" t="s">
        <v>239</v>
      </c>
      <c r="AS7" s="71">
        <v>4</v>
      </c>
      <c r="AT7" s="71" t="str">
        <f>【様式５】職員数算出表!AS7</f>
        <v/>
      </c>
      <c r="AU7" s="71" t="s">
        <v>57</v>
      </c>
      <c r="AV7" s="51">
        <v>5</v>
      </c>
      <c r="AW7" s="69">
        <v>5</v>
      </c>
      <c r="AX7" s="69">
        <v>5</v>
      </c>
    </row>
    <row r="8" spans="1:52">
      <c r="A8" s="659" t="str">
        <f>+"　"&amp;AK2&amp;"年度において、下記のとおり申請します。"</f>
        <v>　2025年度において、下記のとおり申請します。</v>
      </c>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662"/>
      <c r="AL8" s="69">
        <v>9</v>
      </c>
      <c r="AM8" s="69">
        <v>6</v>
      </c>
      <c r="AN8" s="69" t="s">
        <v>240</v>
      </c>
      <c r="AS8" s="71">
        <v>4.5</v>
      </c>
      <c r="AT8" s="71" t="str">
        <f>【様式５】職員数算出表!AS8</f>
        <v/>
      </c>
      <c r="AU8" s="71" t="s">
        <v>58</v>
      </c>
      <c r="AV8" s="51">
        <v>6</v>
      </c>
      <c r="AW8" s="69">
        <v>6</v>
      </c>
      <c r="AX8" s="69">
        <v>6</v>
      </c>
    </row>
    <row r="9" spans="1:52" ht="15" customHeight="1">
      <c r="A9" s="1860" t="s">
        <v>24</v>
      </c>
      <c r="B9" s="1508"/>
      <c r="C9" s="1508"/>
      <c r="D9" s="1508"/>
      <c r="E9" s="1508"/>
      <c r="F9" s="1508"/>
      <c r="G9" s="1508"/>
      <c r="H9" s="1508"/>
      <c r="I9" s="1508"/>
      <c r="J9" s="1508"/>
      <c r="K9" s="1508"/>
      <c r="L9" s="1508"/>
      <c r="M9" s="1508"/>
      <c r="N9" s="1508"/>
      <c r="O9" s="1508"/>
      <c r="P9" s="1508"/>
      <c r="Q9" s="1508"/>
      <c r="R9" s="1508"/>
      <c r="S9" s="1508"/>
      <c r="T9" s="1508"/>
      <c r="U9" s="1508"/>
      <c r="V9" s="1508"/>
      <c r="W9" s="1508"/>
      <c r="X9" s="1508"/>
      <c r="Y9" s="1508"/>
      <c r="Z9" s="1508"/>
      <c r="AA9" s="1508"/>
      <c r="AB9" s="1508"/>
      <c r="AC9" s="1508"/>
      <c r="AD9" s="1508"/>
      <c r="AE9" s="1508"/>
      <c r="AF9" s="1508"/>
      <c r="AG9" s="1861"/>
      <c r="AL9" s="69">
        <v>10</v>
      </c>
      <c r="AM9" s="69">
        <v>7</v>
      </c>
      <c r="AN9" s="69" t="s">
        <v>233</v>
      </c>
      <c r="AS9" s="71">
        <v>5</v>
      </c>
      <c r="AT9" s="71" t="str">
        <f>【様式５】職員数算出表!AS9</f>
        <v/>
      </c>
      <c r="AU9" s="71" t="s">
        <v>59</v>
      </c>
      <c r="AV9" s="51">
        <v>7</v>
      </c>
      <c r="AW9" s="69">
        <v>7</v>
      </c>
      <c r="AX9" s="69">
        <v>7</v>
      </c>
    </row>
    <row r="10" spans="1:52" ht="15" customHeight="1">
      <c r="A10" s="1825" t="s">
        <v>231</v>
      </c>
      <c r="B10" s="1714"/>
      <c r="C10" s="1528"/>
      <c r="D10" s="1713">
        <f>IF(I10&gt;=4,$AK$2,IF(AND(I10&gt;0,$I$10&lt;=3),$AK$2+1,""))</f>
        <v>2025</v>
      </c>
      <c r="E10" s="1714"/>
      <c r="F10" s="1714"/>
      <c r="G10" s="1714" t="s">
        <v>11</v>
      </c>
      <c r="H10" s="1714"/>
      <c r="I10" s="1573">
        <v>4</v>
      </c>
      <c r="J10" s="1573"/>
      <c r="K10" s="1573"/>
      <c r="L10" s="1714" t="s">
        <v>71</v>
      </c>
      <c r="M10" s="1714"/>
      <c r="N10" s="1528"/>
      <c r="O10" s="314"/>
      <c r="P10" s="314"/>
      <c r="Q10" s="314"/>
      <c r="R10" s="314"/>
      <c r="S10" s="314"/>
      <c r="T10" s="314"/>
      <c r="U10" s="314"/>
      <c r="V10" s="314"/>
      <c r="W10" s="314"/>
      <c r="X10" s="314"/>
      <c r="Y10" s="314"/>
      <c r="Z10" s="314"/>
      <c r="AA10" s="314"/>
      <c r="AB10" s="314"/>
      <c r="AC10" s="314"/>
      <c r="AD10" s="314"/>
      <c r="AE10" s="314"/>
      <c r="AF10" s="314"/>
      <c r="AG10" s="662"/>
      <c r="AL10" s="69">
        <v>11</v>
      </c>
      <c r="AM10" s="69">
        <v>8</v>
      </c>
      <c r="AN10" s="69" t="s">
        <v>241</v>
      </c>
      <c r="AS10" s="71">
        <v>5.5</v>
      </c>
      <c r="AT10" s="71" t="str">
        <f>【様式５】職員数算出表!AS10</f>
        <v/>
      </c>
      <c r="AU10" s="71" t="s">
        <v>60</v>
      </c>
      <c r="AV10" s="51">
        <v>8</v>
      </c>
      <c r="AW10" s="69">
        <v>8</v>
      </c>
      <c r="AX10" s="69">
        <v>8</v>
      </c>
    </row>
    <row r="11" spans="1:52" ht="15" customHeight="1">
      <c r="A11" s="1826" t="s">
        <v>232</v>
      </c>
      <c r="B11" s="1466"/>
      <c r="C11" s="1466"/>
      <c r="D11" s="3213"/>
      <c r="E11" s="3213"/>
      <c r="F11" s="3213"/>
      <c r="G11" s="3213"/>
      <c r="H11" s="3213"/>
      <c r="I11" s="3213"/>
      <c r="J11" s="3213"/>
      <c r="K11" s="3213"/>
      <c r="L11" s="3213"/>
      <c r="M11" s="3213"/>
      <c r="N11" s="3213"/>
      <c r="O11" s="664"/>
      <c r="P11" s="664"/>
      <c r="Q11" s="664"/>
      <c r="R11" s="664"/>
      <c r="S11" s="664"/>
      <c r="T11" s="664"/>
      <c r="U11" s="664"/>
      <c r="V11" s="664"/>
      <c r="W11" s="664"/>
      <c r="X11" s="664"/>
      <c r="Y11" s="664"/>
      <c r="Z11" s="664"/>
      <c r="AA11" s="664"/>
      <c r="AB11" s="664"/>
      <c r="AC11" s="664"/>
      <c r="AD11" s="664"/>
      <c r="AE11" s="664"/>
      <c r="AF11" s="664"/>
      <c r="AG11" s="665"/>
      <c r="AH11" s="73"/>
      <c r="AI11" s="73"/>
      <c r="AJ11" s="73"/>
      <c r="AK11" s="73"/>
      <c r="AL11" s="69">
        <v>12</v>
      </c>
      <c r="AM11" s="69">
        <v>9</v>
      </c>
      <c r="AN11" s="69" t="s">
        <v>242</v>
      </c>
      <c r="AS11" s="71">
        <v>6</v>
      </c>
      <c r="AT11" s="71" t="str">
        <f>【様式５】職員数算出表!AS11</f>
        <v/>
      </c>
      <c r="AU11" s="71" t="s">
        <v>61</v>
      </c>
      <c r="AV11" s="51">
        <v>9</v>
      </c>
      <c r="AW11" s="69">
        <v>9</v>
      </c>
      <c r="AX11" s="69">
        <v>9</v>
      </c>
    </row>
    <row r="12" spans="1:52" ht="15" customHeight="1">
      <c r="A12" s="1827" t="s">
        <v>2</v>
      </c>
      <c r="B12" s="1787"/>
      <c r="C12" s="1787"/>
      <c r="D12" s="3213"/>
      <c r="E12" s="3213"/>
      <c r="F12" s="3213"/>
      <c r="G12" s="3213"/>
      <c r="H12" s="3213"/>
      <c r="I12" s="3213"/>
      <c r="J12" s="3213"/>
      <c r="K12" s="3213"/>
      <c r="L12" s="3213"/>
      <c r="M12" s="3213"/>
      <c r="N12" s="3213"/>
      <c r="O12" s="1470" t="s">
        <v>234</v>
      </c>
      <c r="P12" s="1471"/>
      <c r="Q12" s="1529"/>
      <c r="R12" s="3214" t="s">
        <v>1069</v>
      </c>
      <c r="S12" s="3215"/>
      <c r="T12" s="3215"/>
      <c r="U12" s="3215"/>
      <c r="V12" s="3215"/>
      <c r="W12" s="3215"/>
      <c r="X12" s="3215"/>
      <c r="Y12" s="3216"/>
      <c r="Z12" s="314"/>
      <c r="AA12" s="314"/>
      <c r="AB12" s="314"/>
      <c r="AC12" s="314"/>
      <c r="AD12" s="314"/>
      <c r="AE12" s="314"/>
      <c r="AF12" s="314"/>
      <c r="AG12" s="662"/>
      <c r="AL12" s="69">
        <v>1</v>
      </c>
      <c r="AM12" s="69">
        <v>10</v>
      </c>
      <c r="AN12" s="69" t="s">
        <v>243</v>
      </c>
      <c r="AS12" s="71">
        <v>6.5</v>
      </c>
      <c r="AT12" s="71" t="str">
        <f>【様式５】職員数算出表!AS12</f>
        <v/>
      </c>
      <c r="AU12" s="71" t="s">
        <v>62</v>
      </c>
      <c r="AV12" s="51">
        <v>10</v>
      </c>
      <c r="AW12" s="69">
        <v>10</v>
      </c>
      <c r="AX12" s="69">
        <v>10</v>
      </c>
    </row>
    <row r="13" spans="1:52" ht="15" customHeight="1">
      <c r="A13" s="1826" t="s">
        <v>25</v>
      </c>
      <c r="B13" s="1466"/>
      <c r="C13" s="1466"/>
      <c r="D13" s="3217"/>
      <c r="E13" s="3217"/>
      <c r="F13" s="3217"/>
      <c r="G13" s="3217"/>
      <c r="H13" s="3217"/>
      <c r="I13" s="3217"/>
      <c r="J13" s="3217"/>
      <c r="K13" s="3217"/>
      <c r="L13" s="3217"/>
      <c r="M13" s="3217"/>
      <c r="N13" s="3217"/>
      <c r="O13" s="3217"/>
      <c r="P13" s="3217"/>
      <c r="Q13" s="3217"/>
      <c r="R13" s="3217"/>
      <c r="S13" s="3217"/>
      <c r="T13" s="3217"/>
      <c r="U13" s="3217"/>
      <c r="V13" s="3217"/>
      <c r="W13" s="3217"/>
      <c r="X13" s="3217"/>
      <c r="Y13" s="3217"/>
      <c r="Z13" s="314"/>
      <c r="AA13" s="314"/>
      <c r="AB13" s="314"/>
      <c r="AC13" s="314"/>
      <c r="AD13" s="314"/>
      <c r="AE13" s="314"/>
      <c r="AF13" s="314"/>
      <c r="AG13" s="662"/>
      <c r="AI13" s="69" t="s">
        <v>257</v>
      </c>
      <c r="AJ13" s="69" t="s">
        <v>4</v>
      </c>
      <c r="AK13" s="69" t="s">
        <v>5</v>
      </c>
      <c r="AL13" s="69">
        <v>2</v>
      </c>
      <c r="AM13" s="69">
        <v>11</v>
      </c>
      <c r="AS13" s="71">
        <v>7</v>
      </c>
      <c r="AT13" s="71" t="str">
        <f>【様式５】職員数算出表!AS13</f>
        <v/>
      </c>
      <c r="AU13" s="71" t="s">
        <v>63</v>
      </c>
      <c r="AV13" s="51">
        <v>11</v>
      </c>
      <c r="AW13" s="69">
        <v>11</v>
      </c>
      <c r="AX13" s="69">
        <v>11</v>
      </c>
    </row>
    <row r="14" spans="1:52" ht="15" customHeight="1">
      <c r="A14" s="1808" t="s">
        <v>0</v>
      </c>
      <c r="B14" s="1756"/>
      <c r="C14" s="1629"/>
      <c r="D14" s="1471" t="s">
        <v>128</v>
      </c>
      <c r="E14" s="1471"/>
      <c r="F14" s="1466" t="s">
        <v>130</v>
      </c>
      <c r="G14" s="1713"/>
      <c r="H14" s="3218"/>
      <c r="I14" s="3218"/>
      <c r="J14" s="1151" t="s">
        <v>26</v>
      </c>
      <c r="K14" s="1466" t="s">
        <v>4</v>
      </c>
      <c r="L14" s="1713"/>
      <c r="M14" s="3218"/>
      <c r="N14" s="3218"/>
      <c r="O14" s="1151" t="s">
        <v>26</v>
      </c>
      <c r="P14" s="1466" t="s">
        <v>5</v>
      </c>
      <c r="Q14" s="1713"/>
      <c r="R14" s="3218"/>
      <c r="S14" s="3218"/>
      <c r="T14" s="666" t="s">
        <v>26</v>
      </c>
      <c r="U14" s="1713" t="s">
        <v>1</v>
      </c>
      <c r="V14" s="1714"/>
      <c r="W14" s="1714">
        <f>SUM(H14,M14,R14)</f>
        <v>0</v>
      </c>
      <c r="X14" s="1714"/>
      <c r="Y14" s="666" t="s">
        <v>26</v>
      </c>
      <c r="Z14" s="314"/>
      <c r="AA14" s="314"/>
      <c r="AB14" s="314"/>
      <c r="AC14" s="314"/>
      <c r="AD14" s="314"/>
      <c r="AE14" s="314"/>
      <c r="AF14" s="314"/>
      <c r="AG14" s="662"/>
      <c r="AI14" s="69" t="e">
        <f>VLOOKUP($D$12,'施設状況 (要更新)'!$F$4:$R$601,6,FALSE)</f>
        <v>#N/A</v>
      </c>
      <c r="AJ14" s="69" t="e">
        <f>VLOOKUP($D$12,'施設状況 (要更新)'!$F$4:$R$601,7,FALSE)</f>
        <v>#N/A</v>
      </c>
      <c r="AK14" s="69" t="e">
        <f>VLOOKUP($D$12,'施設状況 (要更新)'!$F$4:$R$601,10,FALSE)</f>
        <v>#N/A</v>
      </c>
      <c r="AL14" s="69">
        <v>3</v>
      </c>
      <c r="AM14" s="69">
        <v>12</v>
      </c>
      <c r="AS14" s="71">
        <v>7.5</v>
      </c>
      <c r="AT14" s="71" t="str">
        <f>【様式５】職員数算出表!AS14</f>
        <v/>
      </c>
      <c r="AU14" s="71" t="s">
        <v>64</v>
      </c>
      <c r="AV14" s="51">
        <v>12</v>
      </c>
      <c r="AW14" s="69">
        <v>12</v>
      </c>
      <c r="AX14" s="69">
        <v>12</v>
      </c>
    </row>
    <row r="15" spans="1:52" ht="15" customHeight="1">
      <c r="A15" s="1809"/>
      <c r="B15" s="1412"/>
      <c r="C15" s="1439"/>
      <c r="D15" s="1714" t="s">
        <v>129</v>
      </c>
      <c r="E15" s="1714"/>
      <c r="F15" s="1466" t="s">
        <v>130</v>
      </c>
      <c r="G15" s="1713"/>
      <c r="H15" s="1714" t="s">
        <v>750</v>
      </c>
      <c r="I15" s="1714"/>
      <c r="J15" s="1151" t="s">
        <v>26</v>
      </c>
      <c r="K15" s="1466" t="s">
        <v>4</v>
      </c>
      <c r="L15" s="1713"/>
      <c r="M15" s="1714" t="s">
        <v>750</v>
      </c>
      <c r="N15" s="1714"/>
      <c r="O15" s="1151" t="s">
        <v>26</v>
      </c>
      <c r="P15" s="1466" t="s">
        <v>5</v>
      </c>
      <c r="Q15" s="1713"/>
      <c r="R15" s="3218"/>
      <c r="S15" s="3218"/>
      <c r="T15" s="666" t="s">
        <v>26</v>
      </c>
      <c r="U15" s="1713" t="s">
        <v>1</v>
      </c>
      <c r="V15" s="1714"/>
      <c r="W15" s="1714">
        <f>R15</f>
        <v>0</v>
      </c>
      <c r="X15" s="1714"/>
      <c r="Y15" s="666" t="s">
        <v>26</v>
      </c>
      <c r="Z15" s="314"/>
      <c r="AA15" s="314"/>
      <c r="AB15" s="314"/>
      <c r="AC15" s="314"/>
      <c r="AD15" s="314"/>
      <c r="AE15" s="314"/>
      <c r="AF15" s="314"/>
      <c r="AG15" s="662"/>
      <c r="AI15" s="72"/>
      <c r="AJ15" s="72"/>
      <c r="AK15" s="69" t="e">
        <f>VLOOKUP($D$12,'施設状況 (要更新)'!$F$4:$R$601,11,FALSE)-AJ15</f>
        <v>#N/A</v>
      </c>
      <c r="AL15" s="69">
        <v>0</v>
      </c>
      <c r="AM15" s="69">
        <v>0</v>
      </c>
      <c r="AS15" s="71">
        <v>8</v>
      </c>
      <c r="AT15" s="71" t="str">
        <f>【様式５】職員数算出表!AS15</f>
        <v/>
      </c>
      <c r="AU15" s="69">
        <v>0</v>
      </c>
      <c r="AV15" s="51">
        <v>13</v>
      </c>
      <c r="AW15" s="69">
        <v>13</v>
      </c>
      <c r="AX15" s="69">
        <v>13</v>
      </c>
    </row>
    <row r="16" spans="1:52" ht="12.75" thickBot="1">
      <c r="A16" s="1804" t="s">
        <v>122</v>
      </c>
      <c r="B16" s="1805"/>
      <c r="C16" s="1805"/>
      <c r="D16" s="1805"/>
      <c r="E16" s="1805"/>
      <c r="F16" s="1805"/>
      <c r="G16" s="1805"/>
      <c r="H16" s="1805"/>
      <c r="I16" s="1805"/>
      <c r="J16" s="1805"/>
      <c r="K16" s="1805"/>
      <c r="L16" s="1805"/>
      <c r="M16" s="1805"/>
      <c r="N16" s="1805"/>
      <c r="O16" s="1805"/>
      <c r="P16" s="1805"/>
      <c r="Q16" s="1805"/>
      <c r="R16" s="1805"/>
      <c r="S16" s="1805"/>
      <c r="T16" s="1805"/>
      <c r="U16" s="1805"/>
      <c r="V16" s="1805"/>
      <c r="W16" s="1805"/>
      <c r="X16" s="1805"/>
      <c r="Y16" s="1805"/>
      <c r="Z16" s="1805"/>
      <c r="AA16" s="1805"/>
      <c r="AB16" s="1805"/>
      <c r="AC16" s="1805"/>
      <c r="AD16" s="1805"/>
      <c r="AE16" s="1805"/>
      <c r="AF16" s="1805"/>
      <c r="AG16" s="662"/>
      <c r="AW16" s="69">
        <v>14</v>
      </c>
      <c r="AX16" s="69">
        <v>14</v>
      </c>
    </row>
    <row r="17" spans="1:50" ht="24.95" customHeight="1" thickBot="1">
      <c r="A17" s="667" t="s">
        <v>252</v>
      </c>
      <c r="B17" s="1815" t="s">
        <v>121</v>
      </c>
      <c r="C17" s="1815"/>
      <c r="D17" s="1815"/>
      <c r="E17" s="1816"/>
      <c r="F17" s="1817" t="s">
        <v>27</v>
      </c>
      <c r="G17" s="1818"/>
      <c r="H17" s="1818"/>
      <c r="I17" s="1818"/>
      <c r="J17" s="1818"/>
      <c r="K17" s="1818"/>
      <c r="L17" s="1818"/>
      <c r="M17" s="1818"/>
      <c r="N17" s="1818"/>
      <c r="O17" s="1818"/>
      <c r="P17" s="1818"/>
      <c r="Q17" s="1818"/>
      <c r="R17" s="1818"/>
      <c r="S17" s="1818"/>
      <c r="T17" s="1818"/>
      <c r="U17" s="1819"/>
      <c r="V17" s="1864" t="s">
        <v>253</v>
      </c>
      <c r="W17" s="1865"/>
      <c r="X17" s="1865"/>
      <c r="Y17" s="1866"/>
      <c r="Z17" s="1813" t="s">
        <v>28</v>
      </c>
      <c r="AA17" s="1813"/>
      <c r="AB17" s="1813"/>
      <c r="AC17" s="1813"/>
      <c r="AD17" s="1813"/>
      <c r="AE17" s="1813"/>
      <c r="AF17" s="1813"/>
      <c r="AG17" s="662"/>
      <c r="AI17" s="1823" t="s">
        <v>255</v>
      </c>
      <c r="AJ17" s="1824"/>
      <c r="AL17" s="1399" t="s">
        <v>1407</v>
      </c>
      <c r="AM17" s="1399"/>
      <c r="AW17" s="69">
        <v>15</v>
      </c>
      <c r="AX17" s="69">
        <v>15</v>
      </c>
    </row>
    <row r="18" spans="1:50" ht="15" customHeight="1" thickBot="1">
      <c r="A18" s="668">
        <v>0</v>
      </c>
      <c r="B18" s="1795" t="str">
        <f>AI18</f>
        <v>×</v>
      </c>
      <c r="C18" s="1704"/>
      <c r="D18" s="1704"/>
      <c r="E18" s="1663"/>
      <c r="F18" s="1711" t="s">
        <v>254</v>
      </c>
      <c r="G18" s="1711"/>
      <c r="H18" s="1711"/>
      <c r="I18" s="1711"/>
      <c r="J18" s="1711"/>
      <c r="K18" s="1711"/>
      <c r="L18" s="1711"/>
      <c r="M18" s="1711"/>
      <c r="N18" s="1711"/>
      <c r="O18" s="1711"/>
      <c r="P18" s="1711"/>
      <c r="Q18" s="1711"/>
      <c r="R18" s="1711"/>
      <c r="S18" s="1711"/>
      <c r="T18" s="1711"/>
      <c r="U18" s="1711"/>
      <c r="V18" s="1820"/>
      <c r="W18" s="1821"/>
      <c r="X18" s="1821"/>
      <c r="Y18" s="1822"/>
      <c r="Z18" s="1714"/>
      <c r="AA18" s="1714"/>
      <c r="AB18" s="1714"/>
      <c r="AC18" s="1714"/>
      <c r="AD18" s="1714"/>
      <c r="AE18" s="1714"/>
      <c r="AF18" s="1528"/>
      <c r="AG18" s="662"/>
      <c r="AI18" s="1823" t="str">
        <f>J69</f>
        <v>×</v>
      </c>
      <c r="AJ18" s="1824"/>
      <c r="AL18" s="69">
        <v>4</v>
      </c>
      <c r="AM18" s="1204">
        <v>45820</v>
      </c>
      <c r="AW18" s="69">
        <v>16</v>
      </c>
      <c r="AX18" s="69">
        <v>16</v>
      </c>
    </row>
    <row r="19" spans="1:50" ht="15" customHeight="1">
      <c r="A19" s="669" t="s">
        <v>29</v>
      </c>
      <c r="B19" s="932"/>
      <c r="C19" s="932"/>
      <c r="D19" s="924"/>
      <c r="E19" s="924"/>
      <c r="F19" s="924"/>
      <c r="G19" s="924"/>
      <c r="H19" s="924"/>
      <c r="I19" s="924"/>
      <c r="J19" s="924"/>
      <c r="K19" s="924"/>
      <c r="L19" s="924"/>
      <c r="M19" s="924"/>
      <c r="N19" s="924"/>
      <c r="O19" s="924"/>
      <c r="P19" s="924"/>
      <c r="Q19" s="924"/>
      <c r="R19" s="924"/>
      <c r="S19" s="924"/>
      <c r="T19" s="924"/>
      <c r="U19" s="924"/>
      <c r="V19" s="1806" t="s">
        <v>256</v>
      </c>
      <c r="W19" s="1806"/>
      <c r="X19" s="1806"/>
      <c r="Y19" s="1806"/>
      <c r="Z19" s="1806"/>
      <c r="AA19" s="1806"/>
      <c r="AB19" s="1806"/>
      <c r="AC19" s="1806"/>
      <c r="AD19" s="1806"/>
      <c r="AE19" s="1806"/>
      <c r="AF19" s="1807"/>
      <c r="AG19" s="662"/>
      <c r="AI19" s="920">
        <f>VLOOKUP($I$10,$AL$3:$AM$15,2,FALSE)</f>
        <v>1</v>
      </c>
      <c r="AJ19" s="920"/>
      <c r="AL19" s="69">
        <v>5</v>
      </c>
      <c r="AM19" s="1205">
        <f>AM18</f>
        <v>45820</v>
      </c>
      <c r="AW19" s="69">
        <v>17</v>
      </c>
      <c r="AX19" s="69">
        <v>17</v>
      </c>
    </row>
    <row r="20" spans="1:50">
      <c r="A20" s="672">
        <v>1</v>
      </c>
      <c r="B20" s="1470" t="str">
        <f>IFERROR(IF(AI20,AJ20,"適用月エラー"),"－")</f>
        <v>×</v>
      </c>
      <c r="C20" s="1471"/>
      <c r="D20" s="1471"/>
      <c r="E20" s="1529"/>
      <c r="F20" s="1476" t="s">
        <v>1592</v>
      </c>
      <c r="G20" s="1477"/>
      <c r="H20" s="1477"/>
      <c r="I20" s="1477"/>
      <c r="J20" s="1477"/>
      <c r="K20" s="1477"/>
      <c r="L20" s="1477"/>
      <c r="M20" s="1477"/>
      <c r="N20" s="1477"/>
      <c r="O20" s="1477"/>
      <c r="P20" s="1477"/>
      <c r="Q20" s="1477"/>
      <c r="R20" s="1477"/>
      <c r="S20" s="1477"/>
      <c r="T20" s="1477"/>
      <c r="U20" s="1478"/>
      <c r="V20" s="1535">
        <v>4</v>
      </c>
      <c r="W20" s="1536"/>
      <c r="X20" s="1536"/>
      <c r="Y20" s="1537"/>
      <c r="Z20" s="1803"/>
      <c r="AA20" s="1803"/>
      <c r="AB20" s="1803"/>
      <c r="AC20" s="1803"/>
      <c r="AD20" s="1803"/>
      <c r="AE20" s="1803"/>
      <c r="AF20" s="1803"/>
      <c r="AG20" s="662"/>
      <c r="AI20" s="134" t="b">
        <f t="shared" ref="AI20:AI32" si="0">VLOOKUP(V20,$AL$3:$AM$14,2,FALSE)&lt;=$AI$19</f>
        <v>1</v>
      </c>
      <c r="AJ20" s="134" t="str">
        <f>J92</f>
        <v>×</v>
      </c>
      <c r="AL20" s="69">
        <v>6</v>
      </c>
      <c r="AM20" s="1205">
        <f>AM19</f>
        <v>45820</v>
      </c>
      <c r="AW20" s="69">
        <v>18</v>
      </c>
      <c r="AX20" s="69">
        <v>18</v>
      </c>
    </row>
    <row r="21" spans="1:50">
      <c r="A21" s="672">
        <v>2</v>
      </c>
      <c r="B21" s="1470" t="str">
        <f t="shared" ref="B21:B32" si="1">IFERROR(IF(AI21,AJ21,"適用月エラー"),"－")</f>
        <v>×</v>
      </c>
      <c r="C21" s="1471"/>
      <c r="D21" s="1471"/>
      <c r="E21" s="1529"/>
      <c r="F21" s="1476" t="s">
        <v>30</v>
      </c>
      <c r="G21" s="1477"/>
      <c r="H21" s="1477"/>
      <c r="I21" s="1477"/>
      <c r="J21" s="1477"/>
      <c r="K21" s="1477"/>
      <c r="L21" s="1477"/>
      <c r="M21" s="1477"/>
      <c r="N21" s="1477"/>
      <c r="O21" s="1477"/>
      <c r="P21" s="1477"/>
      <c r="Q21" s="1477"/>
      <c r="R21" s="1477"/>
      <c r="S21" s="1477"/>
      <c r="T21" s="1477"/>
      <c r="U21" s="1478"/>
      <c r="V21" s="1535">
        <v>4</v>
      </c>
      <c r="W21" s="1536"/>
      <c r="X21" s="1536"/>
      <c r="Y21" s="1537"/>
      <c r="Z21" s="1803"/>
      <c r="AA21" s="1803"/>
      <c r="AB21" s="1803"/>
      <c r="AC21" s="1803"/>
      <c r="AD21" s="1803"/>
      <c r="AE21" s="1803"/>
      <c r="AF21" s="1803"/>
      <c r="AG21" s="662"/>
      <c r="AI21" s="134" t="b">
        <f t="shared" si="0"/>
        <v>1</v>
      </c>
      <c r="AJ21" s="134" t="str">
        <f>J96</f>
        <v>×</v>
      </c>
      <c r="AL21" s="69">
        <v>7</v>
      </c>
      <c r="AM21" s="1204">
        <v>45905</v>
      </c>
      <c r="AW21" s="69">
        <v>19</v>
      </c>
      <c r="AX21" s="69">
        <v>19</v>
      </c>
    </row>
    <row r="22" spans="1:50">
      <c r="A22" s="672">
        <v>3</v>
      </c>
      <c r="B22" s="1470" t="str">
        <f t="shared" si="1"/>
        <v>×</v>
      </c>
      <c r="C22" s="1471"/>
      <c r="D22" s="1471"/>
      <c r="E22" s="1529"/>
      <c r="F22" s="1476" t="s">
        <v>136</v>
      </c>
      <c r="G22" s="1477"/>
      <c r="H22" s="1477"/>
      <c r="I22" s="1477"/>
      <c r="J22" s="1477"/>
      <c r="K22" s="1477"/>
      <c r="L22" s="1477"/>
      <c r="M22" s="1477"/>
      <c r="N22" s="1477"/>
      <c r="O22" s="1477"/>
      <c r="P22" s="1477"/>
      <c r="Q22" s="1477"/>
      <c r="R22" s="1477"/>
      <c r="S22" s="1477"/>
      <c r="T22" s="1477"/>
      <c r="U22" s="1478"/>
      <c r="V22" s="1535">
        <v>4</v>
      </c>
      <c r="W22" s="1536"/>
      <c r="X22" s="1536"/>
      <c r="Y22" s="1537"/>
      <c r="Z22" s="1803"/>
      <c r="AA22" s="1803"/>
      <c r="AB22" s="1803"/>
      <c r="AC22" s="1803"/>
      <c r="AD22" s="1803"/>
      <c r="AE22" s="1803"/>
      <c r="AF22" s="1803"/>
      <c r="AG22" s="662"/>
      <c r="AI22" s="134" t="b">
        <f t="shared" si="0"/>
        <v>1</v>
      </c>
      <c r="AJ22" s="134" t="str">
        <f>J112</f>
        <v>×</v>
      </c>
      <c r="AL22" s="69">
        <v>8</v>
      </c>
      <c r="AM22" s="1205">
        <f>AM21</f>
        <v>45905</v>
      </c>
      <c r="AW22" s="69">
        <v>20</v>
      </c>
      <c r="AX22" s="69">
        <v>20</v>
      </c>
    </row>
    <row r="23" spans="1:50">
      <c r="A23" s="672">
        <v>4</v>
      </c>
      <c r="B23" s="1470" t="str">
        <f t="shared" si="1"/>
        <v>×</v>
      </c>
      <c r="C23" s="1471"/>
      <c r="D23" s="1471"/>
      <c r="E23" s="1529"/>
      <c r="F23" s="1476" t="s">
        <v>31</v>
      </c>
      <c r="G23" s="1477"/>
      <c r="H23" s="1477"/>
      <c r="I23" s="1477"/>
      <c r="J23" s="1477"/>
      <c r="K23" s="1477"/>
      <c r="L23" s="1477"/>
      <c r="M23" s="1477"/>
      <c r="N23" s="1477"/>
      <c r="O23" s="1477"/>
      <c r="P23" s="1477"/>
      <c r="Q23" s="1477"/>
      <c r="R23" s="1477"/>
      <c r="S23" s="1477"/>
      <c r="T23" s="1477"/>
      <c r="U23" s="1478"/>
      <c r="V23" s="1535">
        <v>4</v>
      </c>
      <c r="W23" s="1536"/>
      <c r="X23" s="1536"/>
      <c r="Y23" s="1537"/>
      <c r="Z23" s="1803"/>
      <c r="AA23" s="1803"/>
      <c r="AB23" s="1803"/>
      <c r="AC23" s="1803"/>
      <c r="AD23" s="1803"/>
      <c r="AE23" s="1803"/>
      <c r="AF23" s="1803"/>
      <c r="AG23" s="662"/>
      <c r="AI23" s="134" t="b">
        <f t="shared" si="0"/>
        <v>1</v>
      </c>
      <c r="AJ23" s="134" t="str">
        <f>J119</f>
        <v>×</v>
      </c>
      <c r="AL23" s="69">
        <v>9</v>
      </c>
      <c r="AM23" s="1205">
        <f>AM22</f>
        <v>45905</v>
      </c>
      <c r="AX23" s="69">
        <v>21</v>
      </c>
    </row>
    <row r="24" spans="1:50">
      <c r="A24" s="672">
        <v>5</v>
      </c>
      <c r="B24" s="1470" t="str">
        <f t="shared" ref="B24" si="2">IFERROR(IF(AI24,AJ24,"適用月エラー"),"－")</f>
        <v>×</v>
      </c>
      <c r="C24" s="1471"/>
      <c r="D24" s="1471"/>
      <c r="E24" s="1529"/>
      <c r="F24" s="1476" t="s">
        <v>1523</v>
      </c>
      <c r="G24" s="1477"/>
      <c r="H24" s="1477"/>
      <c r="I24" s="1477"/>
      <c r="J24" s="1477"/>
      <c r="K24" s="1477"/>
      <c r="L24" s="1477"/>
      <c r="M24" s="1477"/>
      <c r="N24" s="1477"/>
      <c r="O24" s="1477"/>
      <c r="P24" s="1477"/>
      <c r="Q24" s="1477"/>
      <c r="R24" s="1477"/>
      <c r="S24" s="1477"/>
      <c r="T24" s="1477"/>
      <c r="U24" s="1478"/>
      <c r="V24" s="1535">
        <v>4</v>
      </c>
      <c r="W24" s="1536"/>
      <c r="X24" s="1536"/>
      <c r="Y24" s="1537"/>
      <c r="Z24" s="1803"/>
      <c r="AA24" s="1803"/>
      <c r="AB24" s="1803"/>
      <c r="AC24" s="1803"/>
      <c r="AD24" s="1803"/>
      <c r="AE24" s="1803"/>
      <c r="AF24" s="1803"/>
      <c r="AG24" s="662"/>
      <c r="AI24" s="1283" t="b">
        <f t="shared" si="0"/>
        <v>1</v>
      </c>
      <c r="AJ24" s="1283" t="str">
        <f>J125</f>
        <v>×</v>
      </c>
      <c r="AL24" s="69">
        <v>10</v>
      </c>
      <c r="AM24" s="1204">
        <v>45996</v>
      </c>
      <c r="AX24" s="69">
        <v>22</v>
      </c>
    </row>
    <row r="25" spans="1:50">
      <c r="A25" s="672">
        <v>6</v>
      </c>
      <c r="B25" s="1470" t="str">
        <f t="shared" ref="B25" si="3">IFERROR(IF(AI25,AJ25,"適用月エラー"),"－")</f>
        <v>×</v>
      </c>
      <c r="C25" s="1471"/>
      <c r="D25" s="1471"/>
      <c r="E25" s="1529"/>
      <c r="F25" s="1476" t="s">
        <v>1593</v>
      </c>
      <c r="G25" s="1477"/>
      <c r="H25" s="1477"/>
      <c r="I25" s="1477"/>
      <c r="J25" s="1477"/>
      <c r="K25" s="1477"/>
      <c r="L25" s="1477"/>
      <c r="M25" s="1477"/>
      <c r="N25" s="1477"/>
      <c r="O25" s="1477"/>
      <c r="P25" s="1477"/>
      <c r="Q25" s="1477"/>
      <c r="R25" s="1477"/>
      <c r="S25" s="1477"/>
      <c r="T25" s="1477"/>
      <c r="U25" s="1478"/>
      <c r="V25" s="1535">
        <v>4</v>
      </c>
      <c r="W25" s="1536"/>
      <c r="X25" s="1536"/>
      <c r="Y25" s="1537"/>
      <c r="Z25" s="1803"/>
      <c r="AA25" s="1803"/>
      <c r="AB25" s="1803"/>
      <c r="AC25" s="1803"/>
      <c r="AD25" s="1803"/>
      <c r="AE25" s="1803"/>
      <c r="AF25" s="1803"/>
      <c r="AG25" s="662"/>
      <c r="AI25" s="1316" t="b">
        <f>VLOOKUP(V25,$AL$3:$AM$14,2,FALSE)&lt;=$AI$19</f>
        <v>1</v>
      </c>
      <c r="AJ25" s="1316" t="str">
        <f>J132</f>
        <v>×</v>
      </c>
      <c r="AL25" s="69">
        <v>11</v>
      </c>
      <c r="AM25" s="1205">
        <f>AM24</f>
        <v>45996</v>
      </c>
      <c r="AX25" s="69">
        <v>23</v>
      </c>
    </row>
    <row r="26" spans="1:50">
      <c r="A26" s="672">
        <v>7</v>
      </c>
      <c r="B26" s="1470" t="str">
        <f t="shared" si="1"/>
        <v>×</v>
      </c>
      <c r="C26" s="1471"/>
      <c r="D26" s="1471"/>
      <c r="E26" s="1529"/>
      <c r="F26" s="1476" t="s">
        <v>32</v>
      </c>
      <c r="G26" s="1477"/>
      <c r="H26" s="1477"/>
      <c r="I26" s="1477"/>
      <c r="J26" s="1477"/>
      <c r="K26" s="1477"/>
      <c r="L26" s="1477"/>
      <c r="M26" s="1477"/>
      <c r="N26" s="1477"/>
      <c r="O26" s="1477"/>
      <c r="P26" s="1477"/>
      <c r="Q26" s="1477"/>
      <c r="R26" s="1477"/>
      <c r="S26" s="1477"/>
      <c r="T26" s="1477"/>
      <c r="U26" s="1478"/>
      <c r="V26" s="1535">
        <v>4</v>
      </c>
      <c r="W26" s="1536"/>
      <c r="X26" s="1536"/>
      <c r="Y26" s="1537"/>
      <c r="Z26" s="1803"/>
      <c r="AA26" s="1803"/>
      <c r="AB26" s="1803"/>
      <c r="AC26" s="1803"/>
      <c r="AD26" s="1803"/>
      <c r="AE26" s="1803"/>
      <c r="AF26" s="1803"/>
      <c r="AG26" s="662"/>
      <c r="AI26" s="134" t="b">
        <f t="shared" si="0"/>
        <v>1</v>
      </c>
      <c r="AJ26" s="134" t="str">
        <f>J150</f>
        <v>×</v>
      </c>
      <c r="AL26" s="69">
        <v>12</v>
      </c>
      <c r="AM26" s="1205">
        <f>AM25</f>
        <v>45996</v>
      </c>
      <c r="AX26" s="69">
        <v>24</v>
      </c>
    </row>
    <row r="27" spans="1:50">
      <c r="A27" s="672">
        <v>8</v>
      </c>
      <c r="B27" s="1470" t="str">
        <f t="shared" si="1"/>
        <v>×</v>
      </c>
      <c r="C27" s="1471"/>
      <c r="D27" s="1471"/>
      <c r="E27" s="1529"/>
      <c r="F27" s="1476" t="s">
        <v>78</v>
      </c>
      <c r="G27" s="1477"/>
      <c r="H27" s="1477"/>
      <c r="I27" s="1477"/>
      <c r="J27" s="1477"/>
      <c r="K27" s="1477"/>
      <c r="L27" s="1477"/>
      <c r="M27" s="1477"/>
      <c r="N27" s="1477"/>
      <c r="O27" s="1477"/>
      <c r="P27" s="1477"/>
      <c r="Q27" s="1477"/>
      <c r="R27" s="1477"/>
      <c r="S27" s="1477"/>
      <c r="T27" s="1477"/>
      <c r="U27" s="1478"/>
      <c r="V27" s="1535">
        <v>4</v>
      </c>
      <c r="W27" s="1536"/>
      <c r="X27" s="1536"/>
      <c r="Y27" s="1537"/>
      <c r="Z27" s="1803"/>
      <c r="AA27" s="1803"/>
      <c r="AB27" s="1803"/>
      <c r="AC27" s="1803"/>
      <c r="AD27" s="1803"/>
      <c r="AE27" s="1803"/>
      <c r="AF27" s="1803"/>
      <c r="AG27" s="662"/>
      <c r="AI27" s="134" t="b">
        <f t="shared" si="0"/>
        <v>1</v>
      </c>
      <c r="AJ27" s="134" t="str">
        <f>J156</f>
        <v>×</v>
      </c>
      <c r="AL27" s="69">
        <v>1</v>
      </c>
      <c r="AM27" s="1204">
        <v>46084</v>
      </c>
      <c r="AX27" s="69">
        <v>25</v>
      </c>
    </row>
    <row r="28" spans="1:50">
      <c r="A28" s="672">
        <v>9</v>
      </c>
      <c r="B28" s="1470" t="str">
        <f t="shared" si="1"/>
        <v>×</v>
      </c>
      <c r="C28" s="1471"/>
      <c r="D28" s="1471"/>
      <c r="E28" s="1529"/>
      <c r="F28" s="1476" t="s">
        <v>33</v>
      </c>
      <c r="G28" s="1477"/>
      <c r="H28" s="1477"/>
      <c r="I28" s="1477"/>
      <c r="J28" s="1477"/>
      <c r="K28" s="1477"/>
      <c r="L28" s="1477"/>
      <c r="M28" s="1477"/>
      <c r="N28" s="1477"/>
      <c r="O28" s="1477"/>
      <c r="P28" s="1477"/>
      <c r="Q28" s="1477"/>
      <c r="R28" s="1477"/>
      <c r="S28" s="1477"/>
      <c r="T28" s="1477"/>
      <c r="U28" s="1478"/>
      <c r="V28" s="1535">
        <v>4</v>
      </c>
      <c r="W28" s="1536"/>
      <c r="X28" s="1536"/>
      <c r="Y28" s="1537"/>
      <c r="Z28" s="1803"/>
      <c r="AA28" s="1803"/>
      <c r="AB28" s="1803"/>
      <c r="AC28" s="1803"/>
      <c r="AD28" s="1803"/>
      <c r="AE28" s="1803"/>
      <c r="AF28" s="1803"/>
      <c r="AG28" s="662"/>
      <c r="AI28" s="134" t="b">
        <f t="shared" si="0"/>
        <v>1</v>
      </c>
      <c r="AJ28" s="134" t="str">
        <f>J169</f>
        <v>×</v>
      </c>
      <c r="AL28" s="69">
        <v>2</v>
      </c>
      <c r="AM28" s="1205">
        <f>AM27</f>
        <v>46084</v>
      </c>
      <c r="AX28" s="69">
        <v>26</v>
      </c>
    </row>
    <row r="29" spans="1:50">
      <c r="A29" s="672">
        <v>10</v>
      </c>
      <c r="B29" s="1470" t="str">
        <f t="shared" si="1"/>
        <v>×</v>
      </c>
      <c r="C29" s="1471"/>
      <c r="D29" s="1471"/>
      <c r="E29" s="1529"/>
      <c r="F29" s="1476" t="s">
        <v>34</v>
      </c>
      <c r="G29" s="1477"/>
      <c r="H29" s="1477"/>
      <c r="I29" s="1477"/>
      <c r="J29" s="1477"/>
      <c r="K29" s="1477"/>
      <c r="L29" s="1477"/>
      <c r="M29" s="1477"/>
      <c r="N29" s="1477"/>
      <c r="O29" s="1477"/>
      <c r="P29" s="1477"/>
      <c r="Q29" s="1477"/>
      <c r="R29" s="1477"/>
      <c r="S29" s="1477"/>
      <c r="T29" s="1477"/>
      <c r="U29" s="1478"/>
      <c r="V29" s="1535">
        <v>4</v>
      </c>
      <c r="W29" s="1536"/>
      <c r="X29" s="1536"/>
      <c r="Y29" s="1537"/>
      <c r="Z29" s="1803"/>
      <c r="AA29" s="1803"/>
      <c r="AB29" s="1803"/>
      <c r="AC29" s="1803"/>
      <c r="AD29" s="1803"/>
      <c r="AE29" s="1803"/>
      <c r="AF29" s="1803"/>
      <c r="AG29" s="662"/>
      <c r="AI29" s="134" t="b">
        <f t="shared" si="0"/>
        <v>1</v>
      </c>
      <c r="AJ29" s="134" t="str">
        <f>J177</f>
        <v>×</v>
      </c>
      <c r="AL29" s="69">
        <v>3</v>
      </c>
      <c r="AM29" s="1205">
        <f>AM28</f>
        <v>46084</v>
      </c>
      <c r="AX29" s="69">
        <v>27</v>
      </c>
    </row>
    <row r="30" spans="1:50">
      <c r="A30" s="672">
        <v>11</v>
      </c>
      <c r="B30" s="1470" t="str">
        <f t="shared" si="1"/>
        <v>×</v>
      </c>
      <c r="C30" s="1471"/>
      <c r="D30" s="1471"/>
      <c r="E30" s="1529"/>
      <c r="F30" s="1476" t="s">
        <v>360</v>
      </c>
      <c r="G30" s="1477"/>
      <c r="H30" s="1477"/>
      <c r="I30" s="1477"/>
      <c r="J30" s="1477"/>
      <c r="K30" s="1477"/>
      <c r="L30" s="1477"/>
      <c r="M30" s="1477"/>
      <c r="N30" s="1477"/>
      <c r="O30" s="1477"/>
      <c r="P30" s="1477"/>
      <c r="Q30" s="1477"/>
      <c r="R30" s="1477"/>
      <c r="S30" s="1477"/>
      <c r="T30" s="1477"/>
      <c r="U30" s="1478"/>
      <c r="V30" s="1535">
        <v>4</v>
      </c>
      <c r="W30" s="1536"/>
      <c r="X30" s="1536"/>
      <c r="Y30" s="1537"/>
      <c r="Z30" s="1803"/>
      <c r="AA30" s="1803"/>
      <c r="AB30" s="1803"/>
      <c r="AC30" s="1803"/>
      <c r="AD30" s="1803"/>
      <c r="AE30" s="1803"/>
      <c r="AF30" s="1803"/>
      <c r="AG30" s="662"/>
      <c r="AI30" s="134" t="b">
        <f t="shared" si="0"/>
        <v>1</v>
      </c>
      <c r="AJ30" s="134" t="str">
        <f>J184</f>
        <v>×</v>
      </c>
      <c r="AL30" s="69"/>
      <c r="AM30" s="1205"/>
      <c r="AX30" s="69">
        <v>28</v>
      </c>
    </row>
    <row r="31" spans="1:50">
      <c r="A31" s="672">
        <v>12</v>
      </c>
      <c r="B31" s="1470" t="str">
        <f t="shared" si="1"/>
        <v>×</v>
      </c>
      <c r="C31" s="1471"/>
      <c r="D31" s="1471"/>
      <c r="E31" s="1529"/>
      <c r="F31" s="1476" t="s">
        <v>262</v>
      </c>
      <c r="G31" s="1477"/>
      <c r="H31" s="1477"/>
      <c r="I31" s="1477"/>
      <c r="J31" s="1477"/>
      <c r="K31" s="1477"/>
      <c r="L31" s="1477"/>
      <c r="M31" s="1477"/>
      <c r="N31" s="1477"/>
      <c r="O31" s="1477"/>
      <c r="P31" s="1477"/>
      <c r="Q31" s="1477"/>
      <c r="R31" s="1477"/>
      <c r="S31" s="1477"/>
      <c r="T31" s="1477"/>
      <c r="U31" s="1478"/>
      <c r="V31" s="1525">
        <f>I10</f>
        <v>4</v>
      </c>
      <c r="W31" s="1526"/>
      <c r="X31" s="1526"/>
      <c r="Y31" s="1527"/>
      <c r="Z31" s="1803"/>
      <c r="AA31" s="1803"/>
      <c r="AB31" s="1803"/>
      <c r="AC31" s="1803"/>
      <c r="AD31" s="1803"/>
      <c r="AE31" s="1803"/>
      <c r="AF31" s="1803"/>
      <c r="AG31" s="662"/>
      <c r="AI31" s="134" t="b">
        <f t="shared" si="0"/>
        <v>1</v>
      </c>
      <c r="AJ31" s="134" t="str">
        <f>J219</f>
        <v>×</v>
      </c>
      <c r="AL31" s="69"/>
      <c r="AM31" s="1205"/>
      <c r="AX31" s="69">
        <v>29</v>
      </c>
    </row>
    <row r="32" spans="1:50">
      <c r="A32" s="672">
        <v>13</v>
      </c>
      <c r="B32" s="1470" t="str">
        <f t="shared" si="1"/>
        <v>エラー</v>
      </c>
      <c r="C32" s="1471"/>
      <c r="D32" s="1471"/>
      <c r="E32" s="1529"/>
      <c r="F32" s="1476" t="s">
        <v>131</v>
      </c>
      <c r="G32" s="1477"/>
      <c r="H32" s="1477"/>
      <c r="I32" s="1477"/>
      <c r="J32" s="1477"/>
      <c r="K32" s="1477"/>
      <c r="L32" s="1477"/>
      <c r="M32" s="1477"/>
      <c r="N32" s="1477"/>
      <c r="O32" s="1477"/>
      <c r="P32" s="1477"/>
      <c r="Q32" s="1477"/>
      <c r="R32" s="1477"/>
      <c r="S32" s="1477"/>
      <c r="T32" s="1477"/>
      <c r="U32" s="1478"/>
      <c r="V32" s="1535">
        <v>4</v>
      </c>
      <c r="W32" s="1536"/>
      <c r="X32" s="1536"/>
      <c r="Y32" s="1537"/>
      <c r="Z32" s="1803"/>
      <c r="AA32" s="1803"/>
      <c r="AB32" s="1803"/>
      <c r="AC32" s="1803"/>
      <c r="AD32" s="1803"/>
      <c r="AE32" s="1803"/>
      <c r="AF32" s="1803"/>
      <c r="AG32" s="662"/>
      <c r="AI32" s="134" t="b">
        <f t="shared" si="0"/>
        <v>1</v>
      </c>
      <c r="AJ32" s="134" t="str">
        <f>J234</f>
        <v>エラー</v>
      </c>
      <c r="AX32" s="69">
        <v>30</v>
      </c>
    </row>
    <row r="33" spans="1:50">
      <c r="A33" s="672">
        <v>14</v>
      </c>
      <c r="B33" s="1810"/>
      <c r="C33" s="1811"/>
      <c r="D33" s="1811"/>
      <c r="E33" s="1812"/>
      <c r="F33" s="1476" t="s">
        <v>132</v>
      </c>
      <c r="G33" s="1477"/>
      <c r="H33" s="1477"/>
      <c r="I33" s="1477"/>
      <c r="J33" s="1477"/>
      <c r="K33" s="1477"/>
      <c r="L33" s="1477"/>
      <c r="M33" s="1477"/>
      <c r="N33" s="1477"/>
      <c r="O33" s="1477"/>
      <c r="P33" s="1477"/>
      <c r="Q33" s="1477"/>
      <c r="R33" s="1477"/>
      <c r="S33" s="1477"/>
      <c r="T33" s="1477"/>
      <c r="U33" s="1478"/>
      <c r="V33" s="1552"/>
      <c r="W33" s="1553"/>
      <c r="X33" s="1553"/>
      <c r="Y33" s="1554"/>
      <c r="Z33" s="1534" t="s">
        <v>260</v>
      </c>
      <c r="AA33" s="1534"/>
      <c r="AB33" s="1534"/>
      <c r="AC33" s="1534"/>
      <c r="AD33" s="1534"/>
      <c r="AE33" s="1534"/>
      <c r="AF33" s="1534"/>
      <c r="AG33" s="662"/>
      <c r="AI33" s="784"/>
      <c r="AJ33" s="784"/>
      <c r="AX33" s="69">
        <v>31</v>
      </c>
    </row>
    <row r="34" spans="1:50">
      <c r="A34" s="672">
        <v>15</v>
      </c>
      <c r="B34" s="1470" t="str">
        <f t="shared" ref="B34:B35" si="4">IFERROR(IF(AI34,AJ34,"適用月エラー"),"－")</f>
        <v>×</v>
      </c>
      <c r="C34" s="1471"/>
      <c r="D34" s="1471"/>
      <c r="E34" s="1529"/>
      <c r="F34" s="1476" t="s">
        <v>133</v>
      </c>
      <c r="G34" s="1477"/>
      <c r="H34" s="1477"/>
      <c r="I34" s="1477"/>
      <c r="J34" s="1477"/>
      <c r="K34" s="1477"/>
      <c r="L34" s="1477"/>
      <c r="M34" s="1477"/>
      <c r="N34" s="1477"/>
      <c r="O34" s="1477"/>
      <c r="P34" s="1477"/>
      <c r="Q34" s="1477"/>
      <c r="R34" s="1477"/>
      <c r="S34" s="1477"/>
      <c r="T34" s="1477"/>
      <c r="U34" s="1478"/>
      <c r="V34" s="1535">
        <v>4</v>
      </c>
      <c r="W34" s="1536"/>
      <c r="X34" s="1536"/>
      <c r="Y34" s="1537"/>
      <c r="Z34" s="1534" t="s">
        <v>466</v>
      </c>
      <c r="AA34" s="1534"/>
      <c r="AB34" s="1534"/>
      <c r="AC34" s="1534"/>
      <c r="AD34" s="1534"/>
      <c r="AE34" s="1534"/>
      <c r="AF34" s="1534"/>
      <c r="AG34" s="662"/>
      <c r="AI34" s="134" t="b">
        <f>VLOOKUP(V34,$AL$3:$AM$14,2,FALSE)&lt;=$AI$19</f>
        <v>1</v>
      </c>
      <c r="AJ34" s="134" t="str">
        <f>J256</f>
        <v>×</v>
      </c>
      <c r="AX34" s="69"/>
    </row>
    <row r="35" spans="1:50">
      <c r="A35" s="672">
        <v>16</v>
      </c>
      <c r="B35" s="1470" t="str">
        <f t="shared" si="4"/>
        <v>×</v>
      </c>
      <c r="C35" s="1471"/>
      <c r="D35" s="1471"/>
      <c r="E35" s="1529"/>
      <c r="F35" s="1476" t="s">
        <v>134</v>
      </c>
      <c r="G35" s="1477"/>
      <c r="H35" s="1477"/>
      <c r="I35" s="1477"/>
      <c r="J35" s="1477"/>
      <c r="K35" s="1477"/>
      <c r="L35" s="1477"/>
      <c r="M35" s="1477"/>
      <c r="N35" s="1477"/>
      <c r="O35" s="1477"/>
      <c r="P35" s="1477"/>
      <c r="Q35" s="1477"/>
      <c r="R35" s="1477"/>
      <c r="S35" s="1477"/>
      <c r="T35" s="1477"/>
      <c r="U35" s="1478"/>
      <c r="V35" s="1535">
        <v>4</v>
      </c>
      <c r="W35" s="1536"/>
      <c r="X35" s="1536"/>
      <c r="Y35" s="1537"/>
      <c r="Z35" s="1534" t="s">
        <v>399</v>
      </c>
      <c r="AA35" s="1534"/>
      <c r="AB35" s="1534"/>
      <c r="AC35" s="1534"/>
      <c r="AD35" s="1534"/>
      <c r="AE35" s="1534"/>
      <c r="AF35" s="1534"/>
      <c r="AG35" s="662"/>
      <c r="AI35" s="134" t="b">
        <f>VLOOKUP(V35,$AL$3:$AM$14,2,FALSE)&lt;=$AI$19</f>
        <v>1</v>
      </c>
      <c r="AJ35" s="134" t="str">
        <f>J271</f>
        <v>×</v>
      </c>
      <c r="AX35" s="69"/>
    </row>
    <row r="36" spans="1:50">
      <c r="A36" s="672">
        <v>17</v>
      </c>
      <c r="B36" s="1470" t="s">
        <v>72</v>
      </c>
      <c r="C36" s="1471"/>
      <c r="D36" s="1471"/>
      <c r="E36" s="1472"/>
      <c r="F36" s="1476" t="s">
        <v>263</v>
      </c>
      <c r="G36" s="1477"/>
      <c r="H36" s="1477"/>
      <c r="I36" s="1477"/>
      <c r="J36" s="1477"/>
      <c r="K36" s="1477"/>
      <c r="L36" s="1477"/>
      <c r="M36" s="1477"/>
      <c r="N36" s="1477"/>
      <c r="O36" s="1477"/>
      <c r="P36" s="1477"/>
      <c r="Q36" s="1477"/>
      <c r="R36" s="1477"/>
      <c r="S36" s="1477"/>
      <c r="T36" s="1477"/>
      <c r="U36" s="1478"/>
      <c r="V36" s="1525">
        <f>IF(DATE($AK$2,4,1)&gt;=$AI$387,4,MONTH($AI$387))</f>
        <v>4</v>
      </c>
      <c r="W36" s="1526"/>
      <c r="X36" s="1526"/>
      <c r="Y36" s="1527"/>
      <c r="Z36" s="1534" t="s">
        <v>264</v>
      </c>
      <c r="AA36" s="1534"/>
      <c r="AB36" s="1534"/>
      <c r="AC36" s="1534"/>
      <c r="AD36" s="1534"/>
      <c r="AE36" s="1534"/>
      <c r="AF36" s="1534"/>
      <c r="AG36" s="662"/>
      <c r="AI36" s="134" t="b">
        <f>VLOOKUP(V36,$AL$3:$AM$14,2,FALSE)&lt;=$AI$19</f>
        <v>1</v>
      </c>
      <c r="AJ36" s="134"/>
    </row>
    <row r="37" spans="1:50" ht="15" customHeight="1">
      <c r="A37" s="669" t="s">
        <v>36</v>
      </c>
      <c r="B37" s="928"/>
      <c r="C37" s="924"/>
      <c r="D37" s="314"/>
      <c r="E37" s="942"/>
      <c r="F37" s="942"/>
      <c r="G37" s="942"/>
      <c r="H37" s="942"/>
      <c r="I37" s="942"/>
      <c r="J37" s="942"/>
      <c r="K37" s="942"/>
      <c r="L37" s="942"/>
      <c r="M37" s="942"/>
      <c r="N37" s="942"/>
      <c r="O37" s="942"/>
      <c r="P37" s="942"/>
      <c r="Q37" s="942"/>
      <c r="R37" s="942"/>
      <c r="S37" s="942"/>
      <c r="T37" s="942"/>
      <c r="U37" s="931"/>
      <c r="V37" s="950"/>
      <c r="W37" s="950"/>
      <c r="X37" s="950"/>
      <c r="Y37" s="950"/>
      <c r="Z37" s="945"/>
      <c r="AA37" s="950"/>
      <c r="AB37" s="950"/>
      <c r="AC37" s="950"/>
      <c r="AD37" s="950"/>
      <c r="AE37" s="314"/>
      <c r="AF37" s="674"/>
      <c r="AG37" s="662"/>
    </row>
    <row r="38" spans="1:50">
      <c r="A38" s="673">
        <v>18</v>
      </c>
      <c r="B38" s="1810"/>
      <c r="C38" s="1811"/>
      <c r="D38" s="1811"/>
      <c r="E38" s="1812"/>
      <c r="F38" s="1476" t="s">
        <v>1276</v>
      </c>
      <c r="G38" s="1477"/>
      <c r="H38" s="1477"/>
      <c r="I38" s="1477"/>
      <c r="J38" s="1477"/>
      <c r="K38" s="1477"/>
      <c r="L38" s="1477"/>
      <c r="M38" s="1477"/>
      <c r="N38" s="1477"/>
      <c r="O38" s="1477"/>
      <c r="P38" s="1477"/>
      <c r="Q38" s="1477"/>
      <c r="R38" s="1477"/>
      <c r="S38" s="1477"/>
      <c r="T38" s="1477"/>
      <c r="U38" s="1478"/>
      <c r="V38" s="1552"/>
      <c r="W38" s="1553"/>
      <c r="X38" s="1553"/>
      <c r="Y38" s="1554"/>
      <c r="Z38" s="1534" t="s">
        <v>259</v>
      </c>
      <c r="AA38" s="1534"/>
      <c r="AB38" s="1534"/>
      <c r="AC38" s="1534"/>
      <c r="AD38" s="1534"/>
      <c r="AE38" s="1534"/>
      <c r="AF38" s="1534"/>
      <c r="AG38" s="662"/>
      <c r="AI38" s="784"/>
      <c r="AJ38" s="784"/>
    </row>
    <row r="39" spans="1:50">
      <c r="A39" s="673">
        <v>19</v>
      </c>
      <c r="B39" s="1470" t="str">
        <f>IFERROR(IF(AI39,AJ39,"適用月エラー"),AJ39)</f>
        <v>×</v>
      </c>
      <c r="C39" s="1471"/>
      <c r="D39" s="1471"/>
      <c r="E39" s="1529"/>
      <c r="F39" s="1476" t="s">
        <v>1277</v>
      </c>
      <c r="G39" s="1477"/>
      <c r="H39" s="1477"/>
      <c r="I39" s="1477"/>
      <c r="J39" s="1477"/>
      <c r="K39" s="1477"/>
      <c r="L39" s="1477"/>
      <c r="M39" s="1477"/>
      <c r="N39" s="1477"/>
      <c r="O39" s="1477"/>
      <c r="P39" s="1477"/>
      <c r="Q39" s="1477"/>
      <c r="R39" s="1477"/>
      <c r="S39" s="1477"/>
      <c r="T39" s="1477"/>
      <c r="U39" s="1478"/>
      <c r="V39" s="1535">
        <v>4</v>
      </c>
      <c r="W39" s="1536"/>
      <c r="X39" s="1536"/>
      <c r="Y39" s="1537"/>
      <c r="Z39" s="1803"/>
      <c r="AA39" s="1803"/>
      <c r="AB39" s="1803"/>
      <c r="AC39" s="1803"/>
      <c r="AD39" s="1803"/>
      <c r="AE39" s="1803"/>
      <c r="AF39" s="1803"/>
      <c r="AG39" s="662"/>
      <c r="AI39" s="134" t="b">
        <f>VLOOKUP(V39,$AL$3:$AM$14,2,FALSE)&lt;=$AI$19</f>
        <v>1</v>
      </c>
      <c r="AJ39" s="134" t="str">
        <f>J282</f>
        <v>×</v>
      </c>
    </row>
    <row r="40" spans="1:50">
      <c r="A40" s="673">
        <v>20</v>
      </c>
      <c r="B40" s="1470" t="str">
        <f t="shared" ref="B40:B43" si="5">IFERROR(IF(AI40,AJ40,"適用月エラー"),AJ40)</f>
        <v>全て</v>
      </c>
      <c r="C40" s="1471"/>
      <c r="D40" s="1471"/>
      <c r="E40" s="1529"/>
      <c r="F40" s="1476" t="s">
        <v>1278</v>
      </c>
      <c r="G40" s="1477"/>
      <c r="H40" s="1477"/>
      <c r="I40" s="1477"/>
      <c r="J40" s="1477"/>
      <c r="K40" s="1477"/>
      <c r="L40" s="1477"/>
      <c r="M40" s="1477"/>
      <c r="N40" s="1477"/>
      <c r="O40" s="1477"/>
      <c r="P40" s="1477"/>
      <c r="Q40" s="1477"/>
      <c r="R40" s="1477"/>
      <c r="S40" s="1477"/>
      <c r="T40" s="1477"/>
      <c r="U40" s="1873"/>
      <c r="V40" s="1525">
        <f>I10</f>
        <v>4</v>
      </c>
      <c r="W40" s="1526"/>
      <c r="X40" s="1526"/>
      <c r="Y40" s="1527"/>
      <c r="Z40" s="1534" t="str">
        <f>IF(I10=4,"","前月："&amp;F293)</f>
        <v/>
      </c>
      <c r="AA40" s="1534"/>
      <c r="AB40" s="1534"/>
      <c r="AC40" s="1534"/>
      <c r="AD40" s="1534"/>
      <c r="AE40" s="1534"/>
      <c r="AF40" s="1534"/>
      <c r="AG40" s="662"/>
      <c r="AI40" s="134" t="b">
        <f>VLOOKUP(V40,$AL$3:$AM$14,2,FALSE)&lt;=$AI$19</f>
        <v>1</v>
      </c>
      <c r="AJ40" s="134" t="str">
        <f>J288</f>
        <v>全て</v>
      </c>
    </row>
    <row r="41" spans="1:50">
      <c r="A41" s="673">
        <v>21</v>
      </c>
      <c r="B41" s="1470" t="str">
        <f t="shared" si="5"/>
        <v>○</v>
      </c>
      <c r="C41" s="1471"/>
      <c r="D41" s="1471"/>
      <c r="E41" s="1529"/>
      <c r="F41" s="1874" t="s">
        <v>1279</v>
      </c>
      <c r="G41" s="1875"/>
      <c r="H41" s="1875"/>
      <c r="I41" s="1875"/>
      <c r="J41" s="1875"/>
      <c r="K41" s="1875"/>
      <c r="L41" s="1875"/>
      <c r="M41" s="1875"/>
      <c r="N41" s="1875"/>
      <c r="O41" s="1875"/>
      <c r="P41" s="1875"/>
      <c r="Q41" s="1875"/>
      <c r="R41" s="1875"/>
      <c r="S41" s="1875"/>
      <c r="T41" s="1875"/>
      <c r="U41" s="1876"/>
      <c r="V41" s="1535">
        <v>4</v>
      </c>
      <c r="W41" s="1536"/>
      <c r="X41" s="1536"/>
      <c r="Y41" s="1537"/>
      <c r="Z41" s="1803"/>
      <c r="AA41" s="1803"/>
      <c r="AB41" s="1803"/>
      <c r="AC41" s="1803"/>
      <c r="AD41" s="1803"/>
      <c r="AE41" s="1803"/>
      <c r="AF41" s="1803"/>
      <c r="AG41" s="662"/>
      <c r="AI41" s="134" t="b">
        <f>VLOOKUP(V41,$AL$3:$AM$14,2,FALSE)&lt;=$AI$19</f>
        <v>1</v>
      </c>
      <c r="AJ41" s="134" t="str">
        <f>J297</f>
        <v>○</v>
      </c>
    </row>
    <row r="42" spans="1:50">
      <c r="A42" s="673">
        <v>22</v>
      </c>
      <c r="B42" s="1470" t="str">
        <f t="shared" si="5"/>
        <v>○</v>
      </c>
      <c r="C42" s="1471"/>
      <c r="D42" s="1471"/>
      <c r="E42" s="1529"/>
      <c r="F42" s="1874" t="s">
        <v>1280</v>
      </c>
      <c r="G42" s="1875"/>
      <c r="H42" s="1875"/>
      <c r="I42" s="1875"/>
      <c r="J42" s="1875"/>
      <c r="K42" s="1875"/>
      <c r="L42" s="1875"/>
      <c r="M42" s="1875"/>
      <c r="N42" s="1875"/>
      <c r="O42" s="1875"/>
      <c r="P42" s="1875"/>
      <c r="Q42" s="1875"/>
      <c r="R42" s="1875"/>
      <c r="S42" s="1875"/>
      <c r="T42" s="1875"/>
      <c r="U42" s="1876"/>
      <c r="V42" s="1535">
        <v>4</v>
      </c>
      <c r="W42" s="1536"/>
      <c r="X42" s="1536"/>
      <c r="Y42" s="1537"/>
      <c r="Z42" s="1803"/>
      <c r="AA42" s="1803"/>
      <c r="AB42" s="1803"/>
      <c r="AC42" s="1803"/>
      <c r="AD42" s="1803"/>
      <c r="AE42" s="1803"/>
      <c r="AF42" s="1803"/>
      <c r="AG42" s="662"/>
      <c r="AI42" s="134" t="b">
        <f>VLOOKUP(V42,$AL$3:$AM$14,2,FALSE)&lt;=$AI$19</f>
        <v>1</v>
      </c>
      <c r="AJ42" s="134" t="str">
        <f>J342</f>
        <v>○</v>
      </c>
    </row>
    <row r="43" spans="1:50">
      <c r="A43" s="673">
        <v>23</v>
      </c>
      <c r="B43" s="1470" t="str">
        <f t="shared" si="5"/>
        <v>×</v>
      </c>
      <c r="C43" s="1471"/>
      <c r="D43" s="1471"/>
      <c r="E43" s="1529"/>
      <c r="F43" s="1476" t="s">
        <v>1281</v>
      </c>
      <c r="G43" s="1477"/>
      <c r="H43" s="1477"/>
      <c r="I43" s="1477"/>
      <c r="J43" s="1477"/>
      <c r="K43" s="1477"/>
      <c r="L43" s="1477"/>
      <c r="M43" s="1477"/>
      <c r="N43" s="1477"/>
      <c r="O43" s="1477"/>
      <c r="P43" s="1477"/>
      <c r="Q43" s="1477"/>
      <c r="R43" s="1477"/>
      <c r="S43" s="1477"/>
      <c r="T43" s="1477"/>
      <c r="U43" s="1478"/>
      <c r="V43" s="1535">
        <v>4</v>
      </c>
      <c r="W43" s="1536"/>
      <c r="X43" s="1536"/>
      <c r="Y43" s="1537"/>
      <c r="Z43" s="1534" t="s">
        <v>497</v>
      </c>
      <c r="AA43" s="1534"/>
      <c r="AB43" s="1534"/>
      <c r="AC43" s="1534"/>
      <c r="AD43" s="1534"/>
      <c r="AE43" s="1534"/>
      <c r="AF43" s="1534"/>
      <c r="AG43" s="662"/>
      <c r="AI43" s="134" t="b">
        <f>VLOOKUP(V43,$AL$3:$AM$14,2,FALSE)&lt;=$AI$19</f>
        <v>1</v>
      </c>
      <c r="AJ43" s="134" t="str">
        <f>J377</f>
        <v>×</v>
      </c>
    </row>
    <row r="44" spans="1:50">
      <c r="A44" s="673">
        <v>24</v>
      </c>
      <c r="B44" s="1810"/>
      <c r="C44" s="1811"/>
      <c r="D44" s="1811"/>
      <c r="E44" s="1812"/>
      <c r="F44" s="1476" t="s">
        <v>135</v>
      </c>
      <c r="G44" s="1477"/>
      <c r="H44" s="1477"/>
      <c r="I44" s="1477"/>
      <c r="J44" s="1477"/>
      <c r="K44" s="1477"/>
      <c r="L44" s="1477"/>
      <c r="M44" s="1477"/>
      <c r="N44" s="1477"/>
      <c r="O44" s="1477"/>
      <c r="P44" s="1477"/>
      <c r="Q44" s="1477"/>
      <c r="R44" s="1477"/>
      <c r="S44" s="1477"/>
      <c r="T44" s="1477"/>
      <c r="U44" s="1478"/>
      <c r="V44" s="1552"/>
      <c r="W44" s="1553"/>
      <c r="X44" s="1553"/>
      <c r="Y44" s="1554"/>
      <c r="Z44" s="1534" t="s">
        <v>258</v>
      </c>
      <c r="AA44" s="1534"/>
      <c r="AB44" s="1534"/>
      <c r="AC44" s="1534"/>
      <c r="AD44" s="1534"/>
      <c r="AE44" s="1534"/>
      <c r="AF44" s="1534"/>
      <c r="AG44" s="662"/>
      <c r="AI44" s="784"/>
      <c r="AJ44" s="784"/>
    </row>
    <row r="45" spans="1:50" ht="15" customHeight="1">
      <c r="A45" s="669" t="s">
        <v>37</v>
      </c>
      <c r="B45" s="928"/>
      <c r="C45" s="924"/>
      <c r="D45" s="314"/>
      <c r="E45" s="942"/>
      <c r="F45" s="942"/>
      <c r="G45" s="942"/>
      <c r="H45" s="942"/>
      <c r="I45" s="942"/>
      <c r="J45" s="942"/>
      <c r="K45" s="942"/>
      <c r="L45" s="942"/>
      <c r="M45" s="942"/>
      <c r="N45" s="942"/>
      <c r="O45" s="942"/>
      <c r="P45" s="942"/>
      <c r="Q45" s="942"/>
      <c r="R45" s="942"/>
      <c r="S45" s="942"/>
      <c r="T45" s="942"/>
      <c r="U45" s="931"/>
      <c r="V45" s="950"/>
      <c r="W45" s="950"/>
      <c r="X45" s="950"/>
      <c r="Y45" s="950"/>
      <c r="Z45" s="945"/>
      <c r="AA45" s="950"/>
      <c r="AB45" s="950"/>
      <c r="AC45" s="950"/>
      <c r="AD45" s="950"/>
      <c r="AE45" s="314"/>
      <c r="AF45" s="674"/>
      <c r="AG45" s="662"/>
    </row>
    <row r="46" spans="1:50">
      <c r="A46" s="672">
        <v>25</v>
      </c>
      <c r="B46" s="1470" t="str">
        <f t="shared" ref="B46:B47" si="6">IFERROR(IF(AI46,AJ46,"適用月エラー"),AJ46)</f>
        <v>未入力エラー</v>
      </c>
      <c r="C46" s="1471"/>
      <c r="D46" s="1471"/>
      <c r="E46" s="1529"/>
      <c r="F46" s="1476" t="s">
        <v>1282</v>
      </c>
      <c r="G46" s="1477"/>
      <c r="H46" s="1477"/>
      <c r="I46" s="1477"/>
      <c r="J46" s="1477"/>
      <c r="K46" s="1477"/>
      <c r="L46" s="1477"/>
      <c r="M46" s="1477"/>
      <c r="N46" s="1477"/>
      <c r="O46" s="1477"/>
      <c r="P46" s="1477"/>
      <c r="Q46" s="1477"/>
      <c r="R46" s="1477"/>
      <c r="S46" s="1477"/>
      <c r="T46" s="1477"/>
      <c r="U46" s="1478"/>
      <c r="V46" s="1525">
        <f>IF(I10=0,0,4)</f>
        <v>4</v>
      </c>
      <c r="W46" s="1526"/>
      <c r="X46" s="1526"/>
      <c r="Y46" s="1527"/>
      <c r="Z46" s="1534" t="str">
        <f>H402</f>
        <v>エラー</v>
      </c>
      <c r="AA46" s="1534"/>
      <c r="AB46" s="1534"/>
      <c r="AC46" s="1534"/>
      <c r="AD46" s="1534"/>
      <c r="AE46" s="1534"/>
      <c r="AF46" s="1534"/>
      <c r="AG46" s="662"/>
      <c r="AI46" s="134" t="b">
        <f>VLOOKUP(V46,$AL$3:$AM$14,2,FALSE)&lt;=$AI$19</f>
        <v>1</v>
      </c>
      <c r="AJ46" s="134" t="str">
        <f>IF(AND(J381="○",AD395="○",AI396&lt;=DATE(D10,I10,1)),"減算解除",J381)</f>
        <v>未入力エラー</v>
      </c>
    </row>
    <row r="47" spans="1:50">
      <c r="A47" s="672">
        <v>26</v>
      </c>
      <c r="B47" s="1470" t="str">
        <f t="shared" si="6"/>
        <v>未入力エラー</v>
      </c>
      <c r="C47" s="1471"/>
      <c r="D47" s="1471"/>
      <c r="E47" s="1529"/>
      <c r="F47" s="1476" t="s">
        <v>1283</v>
      </c>
      <c r="G47" s="1477"/>
      <c r="H47" s="1477"/>
      <c r="I47" s="1477"/>
      <c r="J47" s="1477"/>
      <c r="K47" s="1477"/>
      <c r="L47" s="1477"/>
      <c r="M47" s="1477"/>
      <c r="N47" s="1477"/>
      <c r="O47" s="1477"/>
      <c r="P47" s="1477"/>
      <c r="Q47" s="1477"/>
      <c r="R47" s="1477"/>
      <c r="S47" s="1477"/>
      <c r="T47" s="1477"/>
      <c r="U47" s="1478"/>
      <c r="V47" s="1525">
        <f>IF(I10=0,0,4)</f>
        <v>4</v>
      </c>
      <c r="W47" s="1526"/>
      <c r="X47" s="1526"/>
      <c r="Y47" s="1527"/>
      <c r="Z47" s="1534">
        <f>AD422</f>
        <v>0</v>
      </c>
      <c r="AA47" s="1534"/>
      <c r="AB47" s="1534"/>
      <c r="AC47" s="1534"/>
      <c r="AD47" s="1534"/>
      <c r="AE47" s="1534"/>
      <c r="AF47" s="1534"/>
      <c r="AG47" s="662"/>
      <c r="AI47" s="134" t="b">
        <f>VLOOKUP(V47,$AL$3:$AM$14,2,FALSE)&lt;=$AI$19</f>
        <v>1</v>
      </c>
      <c r="AJ47" s="134" t="str">
        <f>IF(AND(J406="○",AD421="○",AI422&lt;=DATE(D10,I10,1)),"減算解除",J406)</f>
        <v>未入力エラー</v>
      </c>
    </row>
    <row r="48" spans="1:50" ht="15" customHeight="1">
      <c r="A48" s="669" t="s">
        <v>38</v>
      </c>
      <c r="B48" s="924"/>
      <c r="C48" s="924"/>
      <c r="D48" s="314"/>
      <c r="E48" s="931"/>
      <c r="F48" s="931"/>
      <c r="G48" s="931"/>
      <c r="H48" s="931"/>
      <c r="I48" s="931"/>
      <c r="J48" s="931"/>
      <c r="K48" s="931"/>
      <c r="L48" s="931"/>
      <c r="M48" s="931"/>
      <c r="N48" s="931"/>
      <c r="O48" s="931"/>
      <c r="P48" s="931"/>
      <c r="Q48" s="931"/>
      <c r="R48" s="931"/>
      <c r="S48" s="931"/>
      <c r="T48" s="931"/>
      <c r="U48" s="931"/>
      <c r="V48" s="945"/>
      <c r="W48" s="945"/>
      <c r="X48" s="945"/>
      <c r="Y48" s="945"/>
      <c r="Z48" s="945"/>
      <c r="AA48" s="945"/>
      <c r="AB48" s="945"/>
      <c r="AC48" s="945"/>
      <c r="AD48" s="945"/>
      <c r="AE48" s="314"/>
      <c r="AF48" s="674"/>
      <c r="AG48" s="662"/>
    </row>
    <row r="49" spans="1:36">
      <c r="A49" s="672">
        <v>27</v>
      </c>
      <c r="B49" s="1470" t="str">
        <f t="shared" ref="B49:B53" si="7">IFERROR(IF(AI49,AJ49,"適用月エラー"),"－")</f>
        <v>×</v>
      </c>
      <c r="C49" s="1471"/>
      <c r="D49" s="1471"/>
      <c r="E49" s="1529"/>
      <c r="F49" s="1476" t="s">
        <v>39</v>
      </c>
      <c r="G49" s="1477"/>
      <c r="H49" s="1477"/>
      <c r="I49" s="1477"/>
      <c r="J49" s="1477"/>
      <c r="K49" s="1477"/>
      <c r="L49" s="1477"/>
      <c r="M49" s="1477"/>
      <c r="N49" s="1477"/>
      <c r="O49" s="1477"/>
      <c r="P49" s="1477"/>
      <c r="Q49" s="1477"/>
      <c r="R49" s="1477"/>
      <c r="S49" s="1477"/>
      <c r="T49" s="1477"/>
      <c r="U49" s="1478"/>
      <c r="V49" s="1535">
        <v>4</v>
      </c>
      <c r="W49" s="1536"/>
      <c r="X49" s="1536"/>
      <c r="Y49" s="1537"/>
      <c r="Z49" s="1803"/>
      <c r="AA49" s="1803"/>
      <c r="AB49" s="1803"/>
      <c r="AC49" s="1803"/>
      <c r="AD49" s="1803"/>
      <c r="AE49" s="1803"/>
      <c r="AF49" s="1803"/>
      <c r="AG49" s="662"/>
      <c r="AI49" s="134" t="b">
        <f t="shared" ref="AI49:AI53" si="8">VLOOKUP(V49,$AL$3:$AM$14,2,FALSE)&lt;=$AI$19</f>
        <v>1</v>
      </c>
      <c r="AJ49" s="134" t="str">
        <f>J431</f>
        <v>×</v>
      </c>
    </row>
    <row r="50" spans="1:36">
      <c r="A50" s="672">
        <v>28</v>
      </c>
      <c r="B50" s="1470" t="str">
        <f t="shared" si="7"/>
        <v>×</v>
      </c>
      <c r="C50" s="1471"/>
      <c r="D50" s="1471"/>
      <c r="E50" s="1529"/>
      <c r="F50" s="1476" t="s">
        <v>75</v>
      </c>
      <c r="G50" s="1477"/>
      <c r="H50" s="1477"/>
      <c r="I50" s="1477"/>
      <c r="J50" s="1477"/>
      <c r="K50" s="1477"/>
      <c r="L50" s="1477"/>
      <c r="M50" s="1477"/>
      <c r="N50" s="1477"/>
      <c r="O50" s="1477"/>
      <c r="P50" s="1477"/>
      <c r="Q50" s="1477"/>
      <c r="R50" s="1477"/>
      <c r="S50" s="1477"/>
      <c r="T50" s="1477"/>
      <c r="U50" s="1478"/>
      <c r="V50" s="1535">
        <v>4</v>
      </c>
      <c r="W50" s="1536"/>
      <c r="X50" s="1536"/>
      <c r="Y50" s="1537"/>
      <c r="Z50" s="1803"/>
      <c r="AA50" s="1803"/>
      <c r="AB50" s="1803"/>
      <c r="AC50" s="1803"/>
      <c r="AD50" s="1803"/>
      <c r="AE50" s="1803"/>
      <c r="AF50" s="1803"/>
      <c r="AG50" s="662"/>
      <c r="AI50" s="134" t="b">
        <f t="shared" si="8"/>
        <v>1</v>
      </c>
      <c r="AJ50" s="134" t="str">
        <f>J444</f>
        <v>×</v>
      </c>
    </row>
    <row r="51" spans="1:36">
      <c r="A51" s="672">
        <v>29</v>
      </c>
      <c r="B51" s="1470" t="str">
        <f t="shared" si="7"/>
        <v>×</v>
      </c>
      <c r="C51" s="1471"/>
      <c r="D51" s="1471"/>
      <c r="E51" s="1529"/>
      <c r="F51" s="1476" t="s">
        <v>40</v>
      </c>
      <c r="G51" s="1477"/>
      <c r="H51" s="1477"/>
      <c r="I51" s="1477"/>
      <c r="J51" s="1477"/>
      <c r="K51" s="1477"/>
      <c r="L51" s="1477"/>
      <c r="M51" s="1477"/>
      <c r="N51" s="1477"/>
      <c r="O51" s="1477"/>
      <c r="P51" s="1477"/>
      <c r="Q51" s="1477"/>
      <c r="R51" s="1477"/>
      <c r="S51" s="1477"/>
      <c r="T51" s="1477"/>
      <c r="U51" s="1478"/>
      <c r="V51" s="1535">
        <v>4</v>
      </c>
      <c r="W51" s="1536"/>
      <c r="X51" s="1536"/>
      <c r="Y51" s="1537"/>
      <c r="Z51" s="1803"/>
      <c r="AA51" s="1803"/>
      <c r="AB51" s="1803"/>
      <c r="AC51" s="1803"/>
      <c r="AD51" s="1803"/>
      <c r="AE51" s="1803"/>
      <c r="AF51" s="1803"/>
      <c r="AG51" s="662"/>
      <c r="AI51" s="134" t="b">
        <f t="shared" si="8"/>
        <v>1</v>
      </c>
      <c r="AJ51" s="134" t="str">
        <f>J458</f>
        <v>×</v>
      </c>
    </row>
    <row r="52" spans="1:36">
      <c r="A52" s="672">
        <v>30</v>
      </c>
      <c r="B52" s="1470" t="str">
        <f t="shared" si="7"/>
        <v>×</v>
      </c>
      <c r="C52" s="1471"/>
      <c r="D52" s="1471"/>
      <c r="E52" s="1529"/>
      <c r="F52" s="1476" t="s">
        <v>41</v>
      </c>
      <c r="G52" s="1477"/>
      <c r="H52" s="1477"/>
      <c r="I52" s="1477"/>
      <c r="J52" s="1477"/>
      <c r="K52" s="1477"/>
      <c r="L52" s="1477"/>
      <c r="M52" s="1477"/>
      <c r="N52" s="1477"/>
      <c r="O52" s="1477"/>
      <c r="P52" s="1477"/>
      <c r="Q52" s="1477"/>
      <c r="R52" s="1477"/>
      <c r="S52" s="1477"/>
      <c r="T52" s="1477"/>
      <c r="U52" s="1478"/>
      <c r="V52" s="1535">
        <v>4</v>
      </c>
      <c r="W52" s="1536"/>
      <c r="X52" s="1536"/>
      <c r="Y52" s="1537"/>
      <c r="Z52" s="1803"/>
      <c r="AA52" s="1803"/>
      <c r="AB52" s="1803"/>
      <c r="AC52" s="1803"/>
      <c r="AD52" s="1803"/>
      <c r="AE52" s="1803"/>
      <c r="AF52" s="1803"/>
      <c r="AG52" s="662"/>
      <c r="AI52" s="134" t="b">
        <f t="shared" si="8"/>
        <v>1</v>
      </c>
      <c r="AJ52" s="134" t="str">
        <f>J469</f>
        <v>×</v>
      </c>
    </row>
    <row r="53" spans="1:36">
      <c r="A53" s="672">
        <v>31</v>
      </c>
      <c r="B53" s="1470" t="str">
        <f t="shared" si="7"/>
        <v>×</v>
      </c>
      <c r="C53" s="1471"/>
      <c r="D53" s="1471"/>
      <c r="E53" s="1529"/>
      <c r="F53" s="1476" t="s">
        <v>498</v>
      </c>
      <c r="G53" s="1477"/>
      <c r="H53" s="1477"/>
      <c r="I53" s="1477"/>
      <c r="J53" s="1477"/>
      <c r="K53" s="1477"/>
      <c r="L53" s="1477"/>
      <c r="M53" s="1477"/>
      <c r="N53" s="1477"/>
      <c r="O53" s="1477"/>
      <c r="P53" s="1477"/>
      <c r="Q53" s="1477"/>
      <c r="R53" s="1477"/>
      <c r="S53" s="1477"/>
      <c r="T53" s="1477"/>
      <c r="U53" s="1478"/>
      <c r="V53" s="1535">
        <v>4</v>
      </c>
      <c r="W53" s="1536"/>
      <c r="X53" s="1536"/>
      <c r="Y53" s="1537"/>
      <c r="Z53" s="1803"/>
      <c r="AA53" s="1803"/>
      <c r="AB53" s="1803"/>
      <c r="AC53" s="1803"/>
      <c r="AD53" s="1803"/>
      <c r="AE53" s="1803"/>
      <c r="AF53" s="1803"/>
      <c r="AG53" s="662"/>
      <c r="AI53" s="134" t="b">
        <f t="shared" si="8"/>
        <v>1</v>
      </c>
      <c r="AJ53" s="134" t="str">
        <f>J479</f>
        <v>×</v>
      </c>
    </row>
    <row r="54" spans="1:36">
      <c r="A54" s="672">
        <v>32</v>
      </c>
      <c r="B54" s="1470" t="s">
        <v>72</v>
      </c>
      <c r="C54" s="1471"/>
      <c r="D54" s="1471"/>
      <c r="E54" s="1472"/>
      <c r="F54" s="1476" t="s">
        <v>42</v>
      </c>
      <c r="G54" s="1477"/>
      <c r="H54" s="1477"/>
      <c r="I54" s="1477"/>
      <c r="J54" s="1477"/>
      <c r="K54" s="1477"/>
      <c r="L54" s="1477"/>
      <c r="M54" s="1477"/>
      <c r="N54" s="1477"/>
      <c r="O54" s="1477"/>
      <c r="P54" s="1477"/>
      <c r="Q54" s="1477"/>
      <c r="R54" s="1477"/>
      <c r="S54" s="1477"/>
      <c r="T54" s="1477"/>
      <c r="U54" s="1478"/>
      <c r="V54" s="1525">
        <v>4</v>
      </c>
      <c r="W54" s="1526"/>
      <c r="X54" s="1526"/>
      <c r="Y54" s="1527"/>
      <c r="Z54" s="1534" t="s">
        <v>79</v>
      </c>
      <c r="AA54" s="1534"/>
      <c r="AB54" s="1534"/>
      <c r="AC54" s="1534"/>
      <c r="AD54" s="1534"/>
      <c r="AE54" s="1534"/>
      <c r="AF54" s="1534"/>
      <c r="AG54" s="662"/>
    </row>
    <row r="55" spans="1:36" ht="15" customHeight="1">
      <c r="A55" s="671" t="s">
        <v>77</v>
      </c>
      <c r="B55" s="918"/>
      <c r="C55" s="921"/>
      <c r="D55" s="314"/>
      <c r="E55" s="184"/>
      <c r="F55" s="942"/>
      <c r="G55" s="942"/>
      <c r="H55" s="942"/>
      <c r="I55" s="942"/>
      <c r="J55" s="942"/>
      <c r="K55" s="942"/>
      <c r="L55" s="942"/>
      <c r="M55" s="942"/>
      <c r="N55" s="942"/>
      <c r="O55" s="942"/>
      <c r="P55" s="942"/>
      <c r="Q55" s="942"/>
      <c r="R55" s="942"/>
      <c r="S55" s="942"/>
      <c r="T55" s="942"/>
      <c r="U55" s="942"/>
      <c r="V55" s="949"/>
      <c r="W55" s="949"/>
      <c r="X55" s="949"/>
      <c r="Y55" s="949"/>
      <c r="Z55" s="949"/>
      <c r="AA55" s="949"/>
      <c r="AB55" s="949"/>
      <c r="AC55" s="949"/>
      <c r="AD55" s="949"/>
      <c r="AE55" s="949"/>
      <c r="AF55" s="949"/>
      <c r="AG55" s="662"/>
    </row>
    <row r="56" spans="1:36">
      <c r="A56" s="672">
        <v>33</v>
      </c>
      <c r="B56" s="1473"/>
      <c r="C56" s="1474"/>
      <c r="D56" s="1474"/>
      <c r="E56" s="1475"/>
      <c r="F56" s="1476" t="s">
        <v>35</v>
      </c>
      <c r="G56" s="1477"/>
      <c r="H56" s="1477"/>
      <c r="I56" s="1477"/>
      <c r="J56" s="1477"/>
      <c r="K56" s="1477"/>
      <c r="L56" s="1477"/>
      <c r="M56" s="1477"/>
      <c r="N56" s="1477"/>
      <c r="O56" s="1477"/>
      <c r="P56" s="1477"/>
      <c r="Q56" s="1477"/>
      <c r="R56" s="1477"/>
      <c r="S56" s="1477"/>
      <c r="T56" s="1477"/>
      <c r="U56" s="1478"/>
      <c r="V56" s="1884" t="s">
        <v>1680</v>
      </c>
      <c r="W56" s="1885"/>
      <c r="X56" s="1885"/>
      <c r="Y56" s="1885"/>
      <c r="Z56" s="1885"/>
      <c r="AA56" s="1885"/>
      <c r="AB56" s="1885"/>
      <c r="AC56" s="1885"/>
      <c r="AD56" s="1885"/>
      <c r="AE56" s="1885"/>
      <c r="AF56" s="1886"/>
      <c r="AG56" s="662"/>
    </row>
    <row r="57" spans="1:36">
      <c r="A57" s="672">
        <v>34</v>
      </c>
      <c r="B57" s="1473"/>
      <c r="C57" s="1474"/>
      <c r="D57" s="1474"/>
      <c r="E57" s="1475"/>
      <c r="F57" s="1476" t="s">
        <v>43</v>
      </c>
      <c r="G57" s="1477"/>
      <c r="H57" s="1477"/>
      <c r="I57" s="1477"/>
      <c r="J57" s="1477"/>
      <c r="K57" s="1477"/>
      <c r="L57" s="1477"/>
      <c r="M57" s="1477"/>
      <c r="N57" s="1477"/>
      <c r="O57" s="1477"/>
      <c r="P57" s="1477"/>
      <c r="Q57" s="1477"/>
      <c r="R57" s="1477"/>
      <c r="S57" s="1477"/>
      <c r="T57" s="1477"/>
      <c r="U57" s="1478"/>
      <c r="V57" s="1887"/>
      <c r="W57" s="1888"/>
      <c r="X57" s="1888"/>
      <c r="Y57" s="1888"/>
      <c r="Z57" s="1888"/>
      <c r="AA57" s="1888"/>
      <c r="AB57" s="1888"/>
      <c r="AC57" s="1888"/>
      <c r="AD57" s="1888"/>
      <c r="AE57" s="1888"/>
      <c r="AF57" s="1889"/>
      <c r="AG57" s="662"/>
    </row>
    <row r="58" spans="1:36">
      <c r="A58" s="672">
        <v>35</v>
      </c>
      <c r="B58" s="1473"/>
      <c r="C58" s="1474"/>
      <c r="D58" s="1474"/>
      <c r="E58" s="1475"/>
      <c r="F58" s="1476" t="s">
        <v>465</v>
      </c>
      <c r="G58" s="1477"/>
      <c r="H58" s="1477"/>
      <c r="I58" s="1477"/>
      <c r="J58" s="1477"/>
      <c r="K58" s="1477"/>
      <c r="L58" s="1477"/>
      <c r="M58" s="1477"/>
      <c r="N58" s="1477"/>
      <c r="O58" s="1477"/>
      <c r="P58" s="1477"/>
      <c r="Q58" s="1477"/>
      <c r="R58" s="1477"/>
      <c r="S58" s="1477"/>
      <c r="T58" s="1477"/>
      <c r="U58" s="1478"/>
      <c r="V58" s="1887"/>
      <c r="W58" s="1888"/>
      <c r="X58" s="1888"/>
      <c r="Y58" s="1888"/>
      <c r="Z58" s="1888"/>
      <c r="AA58" s="1888"/>
      <c r="AB58" s="1888"/>
      <c r="AC58" s="1888"/>
      <c r="AD58" s="1888"/>
      <c r="AE58" s="1888"/>
      <c r="AF58" s="1889"/>
      <c r="AG58" s="662"/>
    </row>
    <row r="59" spans="1:36">
      <c r="A59" s="672">
        <v>36</v>
      </c>
      <c r="B59" s="1473"/>
      <c r="C59" s="1474"/>
      <c r="D59" s="1474"/>
      <c r="E59" s="1475"/>
      <c r="F59" s="1476" t="s">
        <v>46</v>
      </c>
      <c r="G59" s="1477"/>
      <c r="H59" s="1477"/>
      <c r="I59" s="1477"/>
      <c r="J59" s="1477"/>
      <c r="K59" s="1477"/>
      <c r="L59" s="1477"/>
      <c r="M59" s="1477"/>
      <c r="N59" s="1477"/>
      <c r="O59" s="1477"/>
      <c r="P59" s="1477"/>
      <c r="Q59" s="1477"/>
      <c r="R59" s="1477"/>
      <c r="S59" s="1477"/>
      <c r="T59" s="1477"/>
      <c r="U59" s="1478"/>
      <c r="V59" s="1887"/>
      <c r="W59" s="1888"/>
      <c r="X59" s="1888"/>
      <c r="Y59" s="1888"/>
      <c r="Z59" s="1888"/>
      <c r="AA59" s="1888"/>
      <c r="AB59" s="1888"/>
      <c r="AC59" s="1888"/>
      <c r="AD59" s="1888"/>
      <c r="AE59" s="1888"/>
      <c r="AF59" s="1889"/>
      <c r="AG59" s="662"/>
    </row>
    <row r="60" spans="1:36">
      <c r="A60" s="672">
        <v>37</v>
      </c>
      <c r="B60" s="1473"/>
      <c r="C60" s="1474"/>
      <c r="D60" s="1474"/>
      <c r="E60" s="1475"/>
      <c r="F60" s="1476" t="s">
        <v>47</v>
      </c>
      <c r="G60" s="1477"/>
      <c r="H60" s="1477"/>
      <c r="I60" s="1477"/>
      <c r="J60" s="1477"/>
      <c r="K60" s="1477"/>
      <c r="L60" s="1477"/>
      <c r="M60" s="1477"/>
      <c r="N60" s="1477"/>
      <c r="O60" s="1477"/>
      <c r="P60" s="1477"/>
      <c r="Q60" s="1477"/>
      <c r="R60" s="1477"/>
      <c r="S60" s="1477"/>
      <c r="T60" s="1477"/>
      <c r="U60" s="1478"/>
      <c r="V60" s="1887"/>
      <c r="W60" s="1888"/>
      <c r="X60" s="1888"/>
      <c r="Y60" s="1888"/>
      <c r="Z60" s="1888"/>
      <c r="AA60" s="1888"/>
      <c r="AB60" s="1888"/>
      <c r="AC60" s="1888"/>
      <c r="AD60" s="1888"/>
      <c r="AE60" s="1888"/>
      <c r="AF60" s="1889"/>
      <c r="AG60" s="662"/>
    </row>
    <row r="61" spans="1:36">
      <c r="A61" s="672">
        <v>38</v>
      </c>
      <c r="B61" s="1473"/>
      <c r="C61" s="1474"/>
      <c r="D61" s="1474"/>
      <c r="E61" s="1475"/>
      <c r="F61" s="1476" t="s">
        <v>48</v>
      </c>
      <c r="G61" s="1477"/>
      <c r="H61" s="1477"/>
      <c r="I61" s="1477"/>
      <c r="J61" s="1477"/>
      <c r="K61" s="1477"/>
      <c r="L61" s="1477"/>
      <c r="M61" s="1477"/>
      <c r="N61" s="1477"/>
      <c r="O61" s="1477"/>
      <c r="P61" s="1477"/>
      <c r="Q61" s="1477"/>
      <c r="R61" s="1477"/>
      <c r="S61" s="1477"/>
      <c r="T61" s="1477"/>
      <c r="U61" s="1478"/>
      <c r="V61" s="1887"/>
      <c r="W61" s="1888"/>
      <c r="X61" s="1888"/>
      <c r="Y61" s="1888"/>
      <c r="Z61" s="1888"/>
      <c r="AA61" s="1888"/>
      <c r="AB61" s="1888"/>
      <c r="AC61" s="1888"/>
      <c r="AD61" s="1888"/>
      <c r="AE61" s="1888"/>
      <c r="AF61" s="1889"/>
      <c r="AG61" s="662"/>
    </row>
    <row r="62" spans="1:36">
      <c r="A62" s="672">
        <v>39</v>
      </c>
      <c r="B62" s="1473"/>
      <c r="C62" s="1474"/>
      <c r="D62" s="1474"/>
      <c r="E62" s="1475"/>
      <c r="F62" s="1476" t="s">
        <v>44</v>
      </c>
      <c r="G62" s="1477"/>
      <c r="H62" s="1477"/>
      <c r="I62" s="1477"/>
      <c r="J62" s="1477"/>
      <c r="K62" s="1477"/>
      <c r="L62" s="1477"/>
      <c r="M62" s="1477"/>
      <c r="N62" s="1477"/>
      <c r="O62" s="1477"/>
      <c r="P62" s="1477"/>
      <c r="Q62" s="1477"/>
      <c r="R62" s="1477"/>
      <c r="S62" s="1477"/>
      <c r="T62" s="1477"/>
      <c r="U62" s="1478"/>
      <c r="V62" s="1884" t="s">
        <v>261</v>
      </c>
      <c r="W62" s="1885"/>
      <c r="X62" s="1885"/>
      <c r="Y62" s="1885"/>
      <c r="Z62" s="1885"/>
      <c r="AA62" s="1885"/>
      <c r="AB62" s="1885"/>
      <c r="AC62" s="1885"/>
      <c r="AD62" s="1885"/>
      <c r="AE62" s="1885"/>
      <c r="AF62" s="1886"/>
      <c r="AG62" s="662"/>
    </row>
    <row r="63" spans="1:36">
      <c r="A63" s="672">
        <v>40</v>
      </c>
      <c r="B63" s="1473"/>
      <c r="C63" s="1474"/>
      <c r="D63" s="1474"/>
      <c r="E63" s="1475"/>
      <c r="F63" s="1476" t="s">
        <v>45</v>
      </c>
      <c r="G63" s="1477"/>
      <c r="H63" s="1477"/>
      <c r="I63" s="1477"/>
      <c r="J63" s="1477"/>
      <c r="K63" s="1477"/>
      <c r="L63" s="1477"/>
      <c r="M63" s="1477"/>
      <c r="N63" s="1477"/>
      <c r="O63" s="1477"/>
      <c r="P63" s="1477"/>
      <c r="Q63" s="1477"/>
      <c r="R63" s="1477"/>
      <c r="S63" s="1477"/>
      <c r="T63" s="1477"/>
      <c r="U63" s="1478"/>
      <c r="V63" s="1890"/>
      <c r="W63" s="1891"/>
      <c r="X63" s="1891"/>
      <c r="Y63" s="1891"/>
      <c r="Z63" s="1891"/>
      <c r="AA63" s="1891"/>
      <c r="AB63" s="1891"/>
      <c r="AC63" s="1891"/>
      <c r="AD63" s="1891"/>
      <c r="AE63" s="1891"/>
      <c r="AF63" s="1892"/>
      <c r="AG63" s="662"/>
    </row>
    <row r="64" spans="1:36" ht="15" customHeight="1">
      <c r="A64" s="1505"/>
      <c r="B64" s="1429"/>
      <c r="C64" s="1429"/>
      <c r="D64" s="1429"/>
      <c r="E64" s="1429"/>
      <c r="F64" s="1429"/>
      <c r="G64" s="1429"/>
      <c r="H64" s="1429"/>
      <c r="I64" s="1429"/>
      <c r="J64" s="1429"/>
      <c r="K64" s="1429"/>
      <c r="L64" s="1429"/>
      <c r="M64" s="1429"/>
      <c r="N64" s="1429"/>
      <c r="O64" s="1429"/>
      <c r="P64" s="1429"/>
      <c r="Q64" s="1429"/>
      <c r="R64" s="1429"/>
      <c r="S64" s="1429"/>
      <c r="T64" s="1429"/>
      <c r="U64" s="1429"/>
      <c r="V64" s="1429"/>
      <c r="W64" s="1429"/>
      <c r="X64" s="1429"/>
      <c r="Y64" s="1429"/>
      <c r="Z64" s="1429"/>
      <c r="AA64" s="1429"/>
      <c r="AB64" s="1429"/>
      <c r="AC64" s="1429"/>
      <c r="AD64" s="1429"/>
      <c r="AE64" s="1429"/>
      <c r="AF64" s="1429"/>
      <c r="AG64" s="662"/>
    </row>
    <row r="65" spans="1:36" ht="15" customHeight="1" thickBot="1">
      <c r="A65" s="1506"/>
      <c r="B65" s="1507"/>
      <c r="C65" s="1507"/>
      <c r="D65" s="1507"/>
      <c r="E65" s="1507"/>
      <c r="F65" s="1507"/>
      <c r="G65" s="1507"/>
      <c r="H65" s="1507"/>
      <c r="I65" s="1507"/>
      <c r="J65" s="1507"/>
      <c r="K65" s="1507"/>
      <c r="L65" s="1507"/>
      <c r="M65" s="1507"/>
      <c r="N65" s="1507"/>
      <c r="O65" s="1507"/>
      <c r="P65" s="1507"/>
      <c r="Q65" s="1507"/>
      <c r="R65" s="1507"/>
      <c r="S65" s="1507"/>
      <c r="T65" s="1507"/>
      <c r="U65" s="1507"/>
      <c r="V65" s="1507"/>
      <c r="W65" s="1507"/>
      <c r="X65" s="1507"/>
      <c r="Y65" s="1507"/>
      <c r="Z65" s="1507"/>
      <c r="AA65" s="1507"/>
      <c r="AB65" s="1507"/>
      <c r="AC65" s="1507"/>
      <c r="AD65" s="1507"/>
      <c r="AE65" s="1507"/>
      <c r="AF65" s="1507"/>
      <c r="AG65" s="670"/>
    </row>
    <row r="66" spans="1:36" ht="15" customHeight="1">
      <c r="A66" s="1508" t="s">
        <v>49</v>
      </c>
      <c r="B66" s="1508"/>
      <c r="C66" s="1508"/>
      <c r="D66" s="1508"/>
      <c r="E66" s="1508"/>
      <c r="F66" s="1508"/>
      <c r="G66" s="1508"/>
      <c r="H66" s="1508"/>
      <c r="I66" s="1508"/>
      <c r="J66" s="1508"/>
      <c r="K66" s="1508"/>
      <c r="L66" s="1508"/>
      <c r="M66" s="1508"/>
      <c r="N66" s="1508"/>
      <c r="O66" s="1508"/>
      <c r="P66" s="1508"/>
      <c r="Q66" s="1508"/>
      <c r="R66" s="1508"/>
      <c r="S66" s="1508"/>
      <c r="T66" s="1508"/>
      <c r="U66" s="1508"/>
      <c r="V66" s="1508"/>
      <c r="W66" s="1508"/>
      <c r="X66" s="1508"/>
      <c r="Y66" s="1508"/>
      <c r="Z66" s="1508"/>
      <c r="AA66" s="1508"/>
      <c r="AB66" s="1508"/>
      <c r="AC66" s="1508"/>
      <c r="AD66" s="1508"/>
      <c r="AE66" s="1508"/>
      <c r="AF66" s="1508"/>
      <c r="AG66" s="1508"/>
    </row>
    <row r="67" spans="1:36" ht="15" customHeight="1">
      <c r="A67" s="1429" t="s">
        <v>265</v>
      </c>
      <c r="B67" s="1429"/>
      <c r="C67" s="1429"/>
      <c r="D67" s="1429"/>
      <c r="E67" s="1429"/>
      <c r="F67" s="1429"/>
      <c r="G67" s="1429"/>
      <c r="H67" s="1429"/>
      <c r="I67" s="1429"/>
      <c r="J67" s="1429"/>
      <c r="K67" s="1429"/>
      <c r="L67" s="1429"/>
      <c r="M67" s="1429"/>
      <c r="N67" s="1429"/>
      <c r="O67" s="1429"/>
      <c r="P67" s="1429"/>
      <c r="Q67" s="1429"/>
      <c r="R67" s="1429"/>
      <c r="S67" s="1429"/>
      <c r="T67" s="1429"/>
      <c r="U67" s="1429"/>
      <c r="V67" s="1429"/>
      <c r="W67" s="1429"/>
      <c r="X67" s="1429"/>
      <c r="Y67" s="1429"/>
      <c r="Z67" s="1429"/>
      <c r="AA67" s="1429"/>
      <c r="AB67" s="1429"/>
      <c r="AC67" s="1429"/>
      <c r="AD67" s="1429"/>
      <c r="AE67" s="1429"/>
      <c r="AF67" s="1429"/>
      <c r="AG67" s="1429"/>
    </row>
    <row r="68" spans="1:36" ht="24.95" customHeight="1" thickBot="1">
      <c r="A68" s="1429" t="s">
        <v>266</v>
      </c>
      <c r="B68" s="1429"/>
      <c r="C68" s="1429"/>
      <c r="D68" s="1429"/>
      <c r="E68" s="1429"/>
      <c r="F68" s="1429"/>
      <c r="G68" s="1429"/>
      <c r="H68" s="1429"/>
      <c r="I68" s="1429"/>
      <c r="J68" s="1429"/>
      <c r="K68" s="1429"/>
      <c r="L68" s="1429"/>
      <c r="M68" s="1429"/>
      <c r="N68" s="1429"/>
      <c r="O68" s="1429"/>
      <c r="P68" s="1429"/>
      <c r="Q68" s="1429"/>
      <c r="R68" s="1429"/>
      <c r="S68" s="1429"/>
      <c r="T68" s="1429"/>
      <c r="U68" s="1429"/>
      <c r="V68" s="1429"/>
      <c r="W68" s="1429"/>
      <c r="X68" s="1429"/>
      <c r="Y68" s="1429"/>
      <c r="Z68" s="1429"/>
      <c r="AA68" s="1429"/>
      <c r="AB68" s="1429"/>
      <c r="AC68" s="1429"/>
      <c r="AD68" s="1429"/>
      <c r="AE68" s="1429"/>
      <c r="AF68" s="1429"/>
      <c r="AG68" s="1429"/>
    </row>
    <row r="69" spans="1:36" ht="15" customHeight="1" thickBot="1">
      <c r="A69" s="1533" t="s">
        <v>267</v>
      </c>
      <c r="B69" s="1533"/>
      <c r="C69" s="1533"/>
      <c r="D69" s="1533"/>
      <c r="E69" s="1533"/>
      <c r="F69" s="1533"/>
      <c r="G69" s="1533"/>
      <c r="H69" s="1533"/>
      <c r="I69" s="1533"/>
      <c r="J69" s="1496" t="str">
        <f>IFERROR(IF(AND(AI71,AI72,AI76,AI80,AJ71,AJ72,AJ76,AJ83),"○","×"),"エラー")</f>
        <v>×</v>
      </c>
      <c r="K69" s="1497"/>
      <c r="L69" s="1497"/>
      <c r="M69" s="1497"/>
      <c r="N69" s="1498"/>
      <c r="O69" s="1538" t="s">
        <v>268</v>
      </c>
      <c r="P69" s="1539"/>
      <c r="Q69" s="1539"/>
      <c r="R69" s="926"/>
      <c r="S69" s="926"/>
      <c r="T69" s="926"/>
      <c r="U69" s="926"/>
      <c r="V69" s="926"/>
      <c r="W69" s="926"/>
      <c r="X69" s="926"/>
      <c r="Y69" s="926"/>
      <c r="Z69" s="926"/>
      <c r="AA69" s="926"/>
      <c r="AB69" s="926"/>
      <c r="AC69" s="926"/>
      <c r="AD69" s="926"/>
      <c r="AE69" s="926"/>
      <c r="AF69" s="926"/>
      <c r="AG69" s="926"/>
    </row>
    <row r="70" spans="1:36" ht="15" customHeight="1">
      <c r="A70" s="1483" t="s">
        <v>347</v>
      </c>
      <c r="B70" s="1484"/>
      <c r="C70" s="1484"/>
      <c r="D70" s="1484"/>
      <c r="E70" s="1404"/>
      <c r="F70" s="1528" t="s">
        <v>103</v>
      </c>
      <c r="G70" s="1466"/>
      <c r="H70" s="1466"/>
      <c r="I70" s="1466"/>
      <c r="J70" s="1426"/>
      <c r="K70" s="1426"/>
      <c r="L70" s="1466"/>
      <c r="M70" s="1466"/>
      <c r="N70" s="1466"/>
      <c r="O70" s="1466"/>
      <c r="P70" s="1466"/>
      <c r="Q70" s="1466"/>
      <c r="R70" s="1466"/>
      <c r="S70" s="1466"/>
      <c r="T70" s="1466"/>
      <c r="U70" s="1466"/>
      <c r="V70" s="1466"/>
      <c r="W70" s="1466"/>
      <c r="X70" s="1466"/>
      <c r="Y70" s="1466"/>
      <c r="Z70" s="1466"/>
      <c r="AA70" s="1466" t="s">
        <v>269</v>
      </c>
      <c r="AB70" s="1466"/>
      <c r="AC70" s="1466"/>
      <c r="AD70" s="1466"/>
      <c r="AE70" s="1523" t="s">
        <v>468</v>
      </c>
      <c r="AF70" s="1523"/>
      <c r="AG70" s="1523"/>
    </row>
    <row r="71" spans="1:36" ht="15" customHeight="1">
      <c r="A71" s="1540"/>
      <c r="B71" s="1541"/>
      <c r="C71" s="1541"/>
      <c r="D71" s="1541"/>
      <c r="E71" s="1406"/>
      <c r="F71" s="675">
        <v>1</v>
      </c>
      <c r="G71" s="1477" t="s">
        <v>280</v>
      </c>
      <c r="H71" s="1477"/>
      <c r="I71" s="1477"/>
      <c r="J71" s="1477"/>
      <c r="K71" s="1477"/>
      <c r="L71" s="1477"/>
      <c r="M71" s="1477"/>
      <c r="N71" s="1477"/>
      <c r="O71" s="1477"/>
      <c r="P71" s="1477"/>
      <c r="Q71" s="1477"/>
      <c r="R71" s="1477"/>
      <c r="S71" s="1477"/>
      <c r="T71" s="1477"/>
      <c r="U71" s="1477"/>
      <c r="V71" s="1477"/>
      <c r="W71" s="1477"/>
      <c r="X71" s="1477"/>
      <c r="Y71" s="1477"/>
      <c r="Z71" s="1478"/>
      <c r="AA71" s="1572" t="s">
        <v>72</v>
      </c>
      <c r="AB71" s="1573"/>
      <c r="AC71" s="1573"/>
      <c r="AD71" s="1872"/>
      <c r="AE71" s="1523" t="str">
        <f>【様式５】職員数算出表!O31</f>
        <v>×</v>
      </c>
      <c r="AF71" s="1523"/>
      <c r="AG71" s="1523"/>
      <c r="AI71" s="134" t="b">
        <f>AA71="○"</f>
        <v>1</v>
      </c>
      <c r="AJ71" s="134" t="b">
        <f>AE71="○"</f>
        <v>0</v>
      </c>
    </row>
    <row r="72" spans="1:36" ht="15" customHeight="1">
      <c r="A72" s="1540"/>
      <c r="B72" s="1541"/>
      <c r="C72" s="1541"/>
      <c r="D72" s="1541"/>
      <c r="E72" s="1406"/>
      <c r="F72" s="950">
        <v>2</v>
      </c>
      <c r="G72" s="1482" t="s">
        <v>478</v>
      </c>
      <c r="H72" s="1482"/>
      <c r="I72" s="1482"/>
      <c r="J72" s="1482"/>
      <c r="K72" s="1482"/>
      <c r="L72" s="1482"/>
      <c r="M72" s="1482"/>
      <c r="N72" s="1482"/>
      <c r="O72" s="1482"/>
      <c r="P72" s="1482"/>
      <c r="Q72" s="1482"/>
      <c r="R72" s="1482"/>
      <c r="S72" s="1482"/>
      <c r="T72" s="1482"/>
      <c r="U72" s="1482"/>
      <c r="V72" s="1482"/>
      <c r="W72" s="1482"/>
      <c r="X72" s="1482"/>
      <c r="Y72" s="1482"/>
      <c r="Z72" s="1482"/>
      <c r="AA72" s="1483" t="str">
        <f>IF(COUNTIF(AI73:AI75,TRUE)=1,"○","×")</f>
        <v>○</v>
      </c>
      <c r="AB72" s="1484"/>
      <c r="AC72" s="1484"/>
      <c r="AD72" s="1404"/>
      <c r="AE72" s="1523" t="str">
        <f>【様式５】職員数算出表!O42</f>
        <v>×</v>
      </c>
      <c r="AF72" s="1523"/>
      <c r="AG72" s="1523"/>
      <c r="AI72" s="134" t="b">
        <f>AA72="○"</f>
        <v>1</v>
      </c>
      <c r="AJ72" s="1399" t="b">
        <f>AE72="○"</f>
        <v>0</v>
      </c>
    </row>
    <row r="73" spans="1:36" ht="15" customHeight="1">
      <c r="A73" s="1540"/>
      <c r="B73" s="1541"/>
      <c r="C73" s="1541"/>
      <c r="D73" s="1541"/>
      <c r="E73" s="1406"/>
      <c r="F73" s="1522" t="s">
        <v>271</v>
      </c>
      <c r="G73" s="1522"/>
      <c r="H73" s="1499" t="s">
        <v>1224</v>
      </c>
      <c r="I73" s="1499"/>
      <c r="J73" s="1499"/>
      <c r="K73" s="1499"/>
      <c r="L73" s="1499"/>
      <c r="M73" s="1499"/>
      <c r="N73" s="1499"/>
      <c r="O73" s="1499"/>
      <c r="P73" s="1499"/>
      <c r="Q73" s="1499"/>
      <c r="R73" s="1499"/>
      <c r="S73" s="1499"/>
      <c r="T73" s="1499"/>
      <c r="U73" s="1499"/>
      <c r="V73" s="1499"/>
      <c r="W73" s="1499"/>
      <c r="X73" s="1499"/>
      <c r="Y73" s="1499"/>
      <c r="Z73" s="1499"/>
      <c r="AA73" s="1501"/>
      <c r="AB73" s="1502"/>
      <c r="AC73" s="1502"/>
      <c r="AD73" s="1503"/>
      <c r="AE73" s="1523"/>
      <c r="AF73" s="1523"/>
      <c r="AG73" s="1523"/>
      <c r="AI73" s="134" t="b">
        <f>AA73="○"</f>
        <v>0</v>
      </c>
      <c r="AJ73" s="1399"/>
    </row>
    <row r="74" spans="1:36" ht="24.95" customHeight="1">
      <c r="A74" s="1540"/>
      <c r="B74" s="1541"/>
      <c r="C74" s="1541"/>
      <c r="D74" s="1541"/>
      <c r="E74" s="1406"/>
      <c r="F74" s="1522" t="s">
        <v>273</v>
      </c>
      <c r="G74" s="1522"/>
      <c r="H74" s="1500" t="s">
        <v>582</v>
      </c>
      <c r="I74" s="1500"/>
      <c r="J74" s="1500"/>
      <c r="K74" s="1500"/>
      <c r="L74" s="1500"/>
      <c r="M74" s="1500"/>
      <c r="N74" s="1500"/>
      <c r="O74" s="1500"/>
      <c r="P74" s="1500"/>
      <c r="Q74" s="1500"/>
      <c r="R74" s="1500"/>
      <c r="S74" s="1500"/>
      <c r="T74" s="1500"/>
      <c r="U74" s="1500"/>
      <c r="V74" s="1500"/>
      <c r="W74" s="1500"/>
      <c r="X74" s="1500"/>
      <c r="Y74" s="1500"/>
      <c r="Z74" s="1500"/>
      <c r="AA74" s="1501" t="s">
        <v>72</v>
      </c>
      <c r="AB74" s="1502"/>
      <c r="AC74" s="1502"/>
      <c r="AD74" s="1503"/>
      <c r="AE74" s="1523"/>
      <c r="AF74" s="1523"/>
      <c r="AG74" s="1523"/>
      <c r="AI74" s="134" t="b">
        <f>AA74="○"</f>
        <v>1</v>
      </c>
      <c r="AJ74" s="1399"/>
    </row>
    <row r="75" spans="1:36" ht="15" customHeight="1">
      <c r="A75" s="1540"/>
      <c r="B75" s="1541"/>
      <c r="C75" s="1541"/>
      <c r="D75" s="1541"/>
      <c r="E75" s="1406"/>
      <c r="F75" s="1491" t="s">
        <v>274</v>
      </c>
      <c r="G75" s="1491"/>
      <c r="H75" s="1504" t="s">
        <v>275</v>
      </c>
      <c r="I75" s="1504"/>
      <c r="J75" s="1504"/>
      <c r="K75" s="1504"/>
      <c r="L75" s="1504"/>
      <c r="M75" s="1504"/>
      <c r="N75" s="1504"/>
      <c r="O75" s="1504"/>
      <c r="P75" s="1504"/>
      <c r="Q75" s="1504"/>
      <c r="R75" s="1504"/>
      <c r="S75" s="1504"/>
      <c r="T75" s="1504"/>
      <c r="U75" s="1504"/>
      <c r="V75" s="1504"/>
      <c r="W75" s="1504"/>
      <c r="X75" s="1504"/>
      <c r="Y75" s="1504"/>
      <c r="Z75" s="1504"/>
      <c r="AA75" s="1479"/>
      <c r="AB75" s="1480"/>
      <c r="AC75" s="1480"/>
      <c r="AD75" s="1481"/>
      <c r="AE75" s="1523"/>
      <c r="AF75" s="1523"/>
      <c r="AG75" s="1523"/>
      <c r="AI75" s="134" t="b">
        <f t="shared" ref="AI75:AI82" si="9">AA75="○"</f>
        <v>0</v>
      </c>
      <c r="AJ75" s="1399"/>
    </row>
    <row r="76" spans="1:36" ht="15" customHeight="1">
      <c r="A76" s="1540"/>
      <c r="B76" s="1541"/>
      <c r="C76" s="1541"/>
      <c r="D76" s="1541"/>
      <c r="E76" s="1406"/>
      <c r="F76" s="950">
        <v>3</v>
      </c>
      <c r="G76" s="1482" t="s">
        <v>479</v>
      </c>
      <c r="H76" s="1482"/>
      <c r="I76" s="1482"/>
      <c r="J76" s="1482"/>
      <c r="K76" s="1482"/>
      <c r="L76" s="1482"/>
      <c r="M76" s="1482"/>
      <c r="N76" s="1482"/>
      <c r="O76" s="1482"/>
      <c r="P76" s="1482"/>
      <c r="Q76" s="1482"/>
      <c r="R76" s="1482"/>
      <c r="S76" s="1482"/>
      <c r="T76" s="1482"/>
      <c r="U76" s="1482"/>
      <c r="V76" s="1482"/>
      <c r="W76" s="1482"/>
      <c r="X76" s="1482"/>
      <c r="Y76" s="1482"/>
      <c r="Z76" s="1482"/>
      <c r="AA76" s="1483" t="str">
        <f>IF(COUNTIF(AI77:AI78,TRUE)=1,"○","×")</f>
        <v>○</v>
      </c>
      <c r="AB76" s="1484"/>
      <c r="AC76" s="1484"/>
      <c r="AD76" s="1404"/>
      <c r="AE76" s="1523" t="str">
        <f>【様式５】職員数算出表!O38</f>
        <v>×</v>
      </c>
      <c r="AF76" s="1523"/>
      <c r="AG76" s="1523"/>
      <c r="AI76" s="134" t="b">
        <f t="shared" si="9"/>
        <v>1</v>
      </c>
      <c r="AJ76" s="1399" t="b">
        <f>AE76="○"</f>
        <v>0</v>
      </c>
    </row>
    <row r="77" spans="1:36" ht="15" customHeight="1">
      <c r="A77" s="1540"/>
      <c r="B77" s="1541"/>
      <c r="C77" s="1541"/>
      <c r="D77" s="1541"/>
      <c r="E77" s="1406"/>
      <c r="F77" s="1522" t="s">
        <v>270</v>
      </c>
      <c r="G77" s="1522"/>
      <c r="H77" s="1499" t="s">
        <v>276</v>
      </c>
      <c r="I77" s="1499"/>
      <c r="J77" s="1499"/>
      <c r="K77" s="1499"/>
      <c r="L77" s="1499"/>
      <c r="M77" s="1499"/>
      <c r="N77" s="1499"/>
      <c r="O77" s="1499"/>
      <c r="P77" s="1499"/>
      <c r="Q77" s="1499"/>
      <c r="R77" s="1499"/>
      <c r="S77" s="1499"/>
      <c r="T77" s="1499"/>
      <c r="U77" s="1499"/>
      <c r="V77" s="1499"/>
      <c r="W77" s="1499"/>
      <c r="X77" s="1499"/>
      <c r="Y77" s="1499"/>
      <c r="Z77" s="1499"/>
      <c r="AA77" s="1501" t="s">
        <v>72</v>
      </c>
      <c r="AB77" s="1502"/>
      <c r="AC77" s="1502"/>
      <c r="AD77" s="1503"/>
      <c r="AE77" s="1523"/>
      <c r="AF77" s="1523"/>
      <c r="AG77" s="1523"/>
      <c r="AI77" s="134" t="b">
        <f t="shared" si="9"/>
        <v>1</v>
      </c>
      <c r="AJ77" s="1399"/>
    </row>
    <row r="78" spans="1:36" ht="15" customHeight="1">
      <c r="A78" s="1540"/>
      <c r="B78" s="1541"/>
      <c r="C78" s="1541"/>
      <c r="D78" s="1541"/>
      <c r="E78" s="1406"/>
      <c r="F78" s="1877" t="s">
        <v>272</v>
      </c>
      <c r="G78" s="1877"/>
      <c r="H78" s="1487" t="s">
        <v>278</v>
      </c>
      <c r="I78" s="1487"/>
      <c r="J78" s="1487"/>
      <c r="K78" s="1487"/>
      <c r="L78" s="1487"/>
      <c r="M78" s="1487"/>
      <c r="N78" s="1487"/>
      <c r="O78" s="1487"/>
      <c r="P78" s="1487"/>
      <c r="Q78" s="1487"/>
      <c r="R78" s="1487"/>
      <c r="S78" s="1487"/>
      <c r="T78" s="1487"/>
      <c r="U78" s="1487"/>
      <c r="V78" s="1487"/>
      <c r="W78" s="1487"/>
      <c r="X78" s="1487"/>
      <c r="Y78" s="1487"/>
      <c r="Z78" s="1487"/>
      <c r="AA78" s="1488"/>
      <c r="AB78" s="1489"/>
      <c r="AC78" s="1489"/>
      <c r="AD78" s="1490"/>
      <c r="AE78" s="1523"/>
      <c r="AF78" s="1523"/>
      <c r="AG78" s="1523"/>
      <c r="AI78" s="134" t="b">
        <f t="shared" si="9"/>
        <v>0</v>
      </c>
      <c r="AJ78" s="1399"/>
    </row>
    <row r="79" spans="1:36" ht="15" customHeight="1">
      <c r="A79" s="1540"/>
      <c r="B79" s="1541"/>
      <c r="C79" s="1541"/>
      <c r="D79" s="1541"/>
      <c r="E79" s="1406"/>
      <c r="F79" s="1878" t="s">
        <v>279</v>
      </c>
      <c r="G79" s="1878"/>
      <c r="H79" s="1878"/>
      <c r="I79" s="1879" t="str">
        <f>IF($W$15=0,"一部を委託している場合は不可","分園の場合のみ選択：給食を本園等から搬入している")</f>
        <v>一部を委託している場合は不可</v>
      </c>
      <c r="J79" s="1879"/>
      <c r="K79" s="1879"/>
      <c r="L79" s="1879"/>
      <c r="M79" s="1879"/>
      <c r="N79" s="1879"/>
      <c r="O79" s="1879"/>
      <c r="P79" s="1879"/>
      <c r="Q79" s="1879"/>
      <c r="R79" s="1879"/>
      <c r="S79" s="1879"/>
      <c r="T79" s="1879"/>
      <c r="U79" s="1879"/>
      <c r="V79" s="1879"/>
      <c r="W79" s="1879"/>
      <c r="X79" s="1879"/>
      <c r="Y79" s="1879"/>
      <c r="Z79" s="1880"/>
      <c r="AA79" s="1881"/>
      <c r="AB79" s="1882"/>
      <c r="AC79" s="1882"/>
      <c r="AD79" s="1883"/>
      <c r="AE79" s="1523"/>
      <c r="AF79" s="1523"/>
      <c r="AG79" s="1523"/>
      <c r="AI79" s="134" t="b">
        <f t="shared" si="9"/>
        <v>0</v>
      </c>
      <c r="AJ79" s="1399"/>
    </row>
    <row r="80" spans="1:36" ht="15" customHeight="1">
      <c r="A80" s="1540"/>
      <c r="B80" s="1541"/>
      <c r="C80" s="1541"/>
      <c r="D80" s="1541"/>
      <c r="E80" s="1406"/>
      <c r="F80" s="950">
        <v>4</v>
      </c>
      <c r="G80" s="1482" t="s">
        <v>480</v>
      </c>
      <c r="H80" s="1482"/>
      <c r="I80" s="1482"/>
      <c r="J80" s="1482"/>
      <c r="K80" s="1482"/>
      <c r="L80" s="1482"/>
      <c r="M80" s="1482"/>
      <c r="N80" s="1482"/>
      <c r="O80" s="1482"/>
      <c r="P80" s="1482"/>
      <c r="Q80" s="1482"/>
      <c r="R80" s="1482"/>
      <c r="S80" s="1482"/>
      <c r="T80" s="1482"/>
      <c r="U80" s="1482"/>
      <c r="V80" s="1482"/>
      <c r="W80" s="1482"/>
      <c r="X80" s="1482"/>
      <c r="Y80" s="1482"/>
      <c r="Z80" s="1482"/>
      <c r="AA80" s="1483" t="str">
        <f>IF(COUNTIF(AI81:AI82,TRUE)=1,"○","×")</f>
        <v>○</v>
      </c>
      <c r="AB80" s="1484"/>
      <c r="AC80" s="1484"/>
      <c r="AD80" s="1404"/>
      <c r="AE80" s="1523" t="str">
        <f>【様式５】職員数算出表!O51</f>
        <v>○</v>
      </c>
      <c r="AF80" s="1523"/>
      <c r="AG80" s="1523"/>
      <c r="AI80" s="134" t="b">
        <f t="shared" si="9"/>
        <v>1</v>
      </c>
    </row>
    <row r="81" spans="1:39" ht="15" customHeight="1">
      <c r="A81" s="1540"/>
      <c r="B81" s="1541"/>
      <c r="C81" s="1541"/>
      <c r="D81" s="1541"/>
      <c r="E81" s="1406"/>
      <c r="F81" s="1522" t="s">
        <v>271</v>
      </c>
      <c r="G81" s="1522"/>
      <c r="H81" s="1499" t="s">
        <v>276</v>
      </c>
      <c r="I81" s="1499"/>
      <c r="J81" s="1499"/>
      <c r="K81" s="1499"/>
      <c r="L81" s="1499"/>
      <c r="M81" s="1499"/>
      <c r="N81" s="1499"/>
      <c r="O81" s="1499"/>
      <c r="P81" s="1499"/>
      <c r="Q81" s="1499"/>
      <c r="R81" s="1499"/>
      <c r="S81" s="1499"/>
      <c r="T81" s="1499"/>
      <c r="U81" s="1499"/>
      <c r="V81" s="1499"/>
      <c r="W81" s="1499"/>
      <c r="X81" s="1499"/>
      <c r="Y81" s="1499"/>
      <c r="Z81" s="1499"/>
      <c r="AA81" s="1501"/>
      <c r="AB81" s="1502"/>
      <c r="AC81" s="1502"/>
      <c r="AD81" s="1503"/>
      <c r="AE81" s="1523"/>
      <c r="AF81" s="1523"/>
      <c r="AG81" s="1523"/>
      <c r="AI81" s="134" t="b">
        <f t="shared" si="9"/>
        <v>0</v>
      </c>
    </row>
    <row r="82" spans="1:39" ht="15" customHeight="1">
      <c r="A82" s="1540"/>
      <c r="B82" s="1541"/>
      <c r="C82" s="1541"/>
      <c r="D82" s="1541"/>
      <c r="E82" s="1406"/>
      <c r="F82" s="1491" t="s">
        <v>273</v>
      </c>
      <c r="G82" s="1491"/>
      <c r="H82" s="1504" t="s">
        <v>277</v>
      </c>
      <c r="I82" s="1504"/>
      <c r="J82" s="1504"/>
      <c r="K82" s="1504"/>
      <c r="L82" s="1504"/>
      <c r="M82" s="1504"/>
      <c r="N82" s="1504"/>
      <c r="O82" s="1504"/>
      <c r="P82" s="1504"/>
      <c r="Q82" s="1504"/>
      <c r="R82" s="1504"/>
      <c r="S82" s="1504"/>
      <c r="T82" s="1504"/>
      <c r="U82" s="1504"/>
      <c r="V82" s="1504"/>
      <c r="W82" s="1504"/>
      <c r="X82" s="1504"/>
      <c r="Y82" s="1504"/>
      <c r="Z82" s="1504"/>
      <c r="AA82" s="1479" t="s">
        <v>72</v>
      </c>
      <c r="AB82" s="1480"/>
      <c r="AC82" s="1480"/>
      <c r="AD82" s="1481"/>
      <c r="AE82" s="1523"/>
      <c r="AF82" s="1523"/>
      <c r="AG82" s="1523"/>
      <c r="AI82" s="134" t="b">
        <f t="shared" si="9"/>
        <v>1</v>
      </c>
    </row>
    <row r="83" spans="1:39" s="73" customFormat="1" ht="15" customHeight="1">
      <c r="A83" s="1540"/>
      <c r="B83" s="1541"/>
      <c r="C83" s="1541"/>
      <c r="D83" s="1541"/>
      <c r="E83" s="1406"/>
      <c r="F83" s="947">
        <v>5</v>
      </c>
      <c r="G83" s="1780" t="s">
        <v>349</v>
      </c>
      <c r="H83" s="1780"/>
      <c r="I83" s="1780"/>
      <c r="J83" s="1780"/>
      <c r="K83" s="1780"/>
      <c r="L83" s="1780"/>
      <c r="M83" s="1780"/>
      <c r="N83" s="1780"/>
      <c r="O83" s="1780"/>
      <c r="P83" s="1780"/>
      <c r="Q83" s="1780"/>
      <c r="R83" s="1780"/>
      <c r="S83" s="1780"/>
      <c r="T83" s="1780"/>
      <c r="U83" s="1780"/>
      <c r="V83" s="1780"/>
      <c r="W83" s="1780"/>
      <c r="X83" s="1780"/>
      <c r="Y83" s="1780"/>
      <c r="Z83" s="1781"/>
      <c r="AA83" s="1519">
        <f>SUM(AA84:AD87)</f>
        <v>1.5333333333333332</v>
      </c>
      <c r="AB83" s="1520"/>
      <c r="AC83" s="1520"/>
      <c r="AD83" s="1521"/>
      <c r="AE83" s="1868" t="str">
        <f>IF(AND(【様式５】職員数算出表!O34="○",【様式５】職員数算出表!O36="○"),"○","×")</f>
        <v>×</v>
      </c>
      <c r="AF83" s="1868"/>
      <c r="AG83" s="1868"/>
      <c r="AI83" s="77"/>
      <c r="AJ83" s="1420" t="b">
        <f>AE83="○"</f>
        <v>0</v>
      </c>
    </row>
    <row r="84" spans="1:39" s="73" customFormat="1" ht="15" customHeight="1">
      <c r="A84" s="1540"/>
      <c r="B84" s="1541"/>
      <c r="C84" s="1541"/>
      <c r="D84" s="1541"/>
      <c r="E84" s="1406"/>
      <c r="F84" s="1896" t="s">
        <v>348</v>
      </c>
      <c r="G84" s="1896"/>
      <c r="H84" s="1512" t="s">
        <v>350</v>
      </c>
      <c r="I84" s="1512"/>
      <c r="J84" s="1512"/>
      <c r="K84" s="1512"/>
      <c r="L84" s="1512"/>
      <c r="M84" s="1512"/>
      <c r="N84" s="1512"/>
      <c r="O84" s="1512"/>
      <c r="P84" s="1512"/>
      <c r="Q84" s="1512"/>
      <c r="R84" s="1512"/>
      <c r="S84" s="1512"/>
      <c r="T84" s="1512"/>
      <c r="U84" s="1512"/>
      <c r="V84" s="1512"/>
      <c r="W84" s="1512"/>
      <c r="X84" s="1512"/>
      <c r="Y84" s="1512"/>
      <c r="Z84" s="1513"/>
      <c r="AA84" s="1492">
        <f>IFERROR(IF(U85/U86&gt;1,1,IF(U85/U86&lt;0.5,0.5,U85/U86)),1)</f>
        <v>0.53333333333333333</v>
      </c>
      <c r="AB84" s="1493"/>
      <c r="AC84" s="1493"/>
      <c r="AD84" s="1494"/>
      <c r="AE84" s="1868"/>
      <c r="AF84" s="1868"/>
      <c r="AG84" s="1868"/>
      <c r="AI84" s="77"/>
      <c r="AJ84" s="2038"/>
    </row>
    <row r="85" spans="1:39" ht="15" customHeight="1">
      <c r="A85" s="1540"/>
      <c r="B85" s="1541"/>
      <c r="C85" s="1541"/>
      <c r="D85" s="1541"/>
      <c r="E85" s="1406"/>
      <c r="F85" s="1897" t="s">
        <v>352</v>
      </c>
      <c r="G85" s="1898"/>
      <c r="H85" s="1898"/>
      <c r="I85" s="1905" t="s">
        <v>120</v>
      </c>
      <c r="J85" s="1905"/>
      <c r="K85" s="1905"/>
      <c r="L85" s="1905"/>
      <c r="M85" s="1905"/>
      <c r="N85" s="1905"/>
      <c r="O85" s="1905"/>
      <c r="P85" s="1905"/>
      <c r="Q85" s="1905"/>
      <c r="R85" s="1905"/>
      <c r="S85" s="1905"/>
      <c r="T85" s="1905"/>
      <c r="U85" s="1495">
        <v>4</v>
      </c>
      <c r="V85" s="1495"/>
      <c r="W85" s="1495"/>
      <c r="X85" s="1495"/>
      <c r="Y85" s="1901" t="s">
        <v>293</v>
      </c>
      <c r="Z85" s="1902"/>
      <c r="AA85" s="1492"/>
      <c r="AB85" s="1493"/>
      <c r="AC85" s="1493"/>
      <c r="AD85" s="1494"/>
      <c r="AE85" s="1868"/>
      <c r="AF85" s="1868"/>
      <c r="AG85" s="1868"/>
      <c r="AH85" s="73"/>
      <c r="AI85" s="77"/>
      <c r="AJ85" s="2038"/>
      <c r="AK85" s="73"/>
      <c r="AL85" s="73"/>
      <c r="AM85" s="73"/>
    </row>
    <row r="86" spans="1:39" ht="15" customHeight="1">
      <c r="A86" s="1540"/>
      <c r="B86" s="1541"/>
      <c r="C86" s="1541"/>
      <c r="D86" s="1541"/>
      <c r="E86" s="1406"/>
      <c r="F86" s="1899" t="s">
        <v>353</v>
      </c>
      <c r="G86" s="1900"/>
      <c r="H86" s="1900"/>
      <c r="I86" s="1906" t="s">
        <v>102</v>
      </c>
      <c r="J86" s="1906"/>
      <c r="K86" s="1906"/>
      <c r="L86" s="1906"/>
      <c r="M86" s="1906"/>
      <c r="N86" s="1906"/>
      <c r="O86" s="1906"/>
      <c r="P86" s="1906"/>
      <c r="Q86" s="1906"/>
      <c r="R86" s="1906"/>
      <c r="S86" s="1906"/>
      <c r="T86" s="1906"/>
      <c r="U86" s="1514">
        <v>7.5</v>
      </c>
      <c r="V86" s="1514"/>
      <c r="W86" s="1514"/>
      <c r="X86" s="1514"/>
      <c r="Y86" s="1903" t="s">
        <v>293</v>
      </c>
      <c r="Z86" s="1904"/>
      <c r="AA86" s="1492"/>
      <c r="AB86" s="1493"/>
      <c r="AC86" s="1493"/>
      <c r="AD86" s="1494"/>
      <c r="AE86" s="1868"/>
      <c r="AF86" s="1868"/>
      <c r="AG86" s="1868"/>
      <c r="AI86" s="66"/>
      <c r="AJ86" s="2038"/>
    </row>
    <row r="87" spans="1:39" ht="15" customHeight="1">
      <c r="A87" s="1542"/>
      <c r="B87" s="1407"/>
      <c r="C87" s="1407"/>
      <c r="D87" s="1407"/>
      <c r="E87" s="1408"/>
      <c r="F87" s="1516" t="s">
        <v>272</v>
      </c>
      <c r="G87" s="1517"/>
      <c r="H87" s="1518" t="s">
        <v>351</v>
      </c>
      <c r="I87" s="1518"/>
      <c r="J87" s="1518"/>
      <c r="K87" s="1518"/>
      <c r="L87" s="1518"/>
      <c r="M87" s="1518"/>
      <c r="N87" s="1518"/>
      <c r="O87" s="1518"/>
      <c r="P87" s="1518"/>
      <c r="Q87" s="1518"/>
      <c r="R87" s="1518"/>
      <c r="S87" s="1518"/>
      <c r="T87" s="1518"/>
      <c r="U87" s="1518"/>
      <c r="V87" s="1518"/>
      <c r="W87" s="1518"/>
      <c r="X87" s="1518"/>
      <c r="Y87" s="1518"/>
      <c r="Z87" s="1518"/>
      <c r="AA87" s="1549">
        <v>1</v>
      </c>
      <c r="AB87" s="1550"/>
      <c r="AC87" s="1550"/>
      <c r="AD87" s="1551"/>
      <c r="AE87" s="1868"/>
      <c r="AF87" s="1868"/>
      <c r="AG87" s="1868"/>
      <c r="AI87" s="66"/>
      <c r="AJ87" s="1421"/>
    </row>
    <row r="88" spans="1:39" ht="15" customHeight="1">
      <c r="A88" s="1530" t="s">
        <v>51</v>
      </c>
      <c r="B88" s="1531"/>
      <c r="C88" s="1531"/>
      <c r="D88" s="1531"/>
      <c r="E88" s="1532"/>
      <c r="F88" s="1485" t="s">
        <v>467</v>
      </c>
      <c r="G88" s="1485"/>
      <c r="H88" s="1485"/>
      <c r="I88" s="1485"/>
      <c r="J88" s="1485"/>
      <c r="K88" s="1485"/>
      <c r="L88" s="1485"/>
      <c r="M88" s="1485"/>
      <c r="N88" s="1485"/>
      <c r="O88" s="1485"/>
      <c r="P88" s="1485"/>
      <c r="Q88" s="1485"/>
      <c r="R88" s="1485"/>
      <c r="S88" s="1485"/>
      <c r="T88" s="1485"/>
      <c r="U88" s="1485"/>
      <c r="V88" s="1485"/>
      <c r="W88" s="1485"/>
      <c r="X88" s="1485"/>
      <c r="Y88" s="1485"/>
      <c r="Z88" s="1485"/>
      <c r="AA88" s="1485"/>
      <c r="AB88" s="1485"/>
      <c r="AC88" s="1485"/>
      <c r="AD88" s="1485"/>
      <c r="AE88" s="1485"/>
      <c r="AF88" s="1485"/>
      <c r="AG88" s="1485"/>
      <c r="AI88" s="66"/>
      <c r="AJ88" s="66"/>
    </row>
    <row r="89" spans="1:39" ht="15" customHeight="1">
      <c r="A89" s="2045" t="s">
        <v>357</v>
      </c>
      <c r="B89" s="2045"/>
      <c r="C89" s="2045"/>
      <c r="D89" s="2045"/>
      <c r="E89" s="2045"/>
      <c r="F89" s="2045"/>
      <c r="G89" s="2045"/>
      <c r="H89" s="2045"/>
      <c r="I89" s="2045"/>
      <c r="J89" s="2045"/>
      <c r="K89" s="2045"/>
      <c r="L89" s="2045"/>
      <c r="M89" s="2045"/>
      <c r="N89" s="2045"/>
      <c r="O89" s="2045"/>
      <c r="P89" s="2045"/>
      <c r="Q89" s="2045"/>
      <c r="R89" s="2045"/>
      <c r="S89" s="2045"/>
      <c r="T89" s="2045"/>
      <c r="U89" s="2045"/>
      <c r="V89" s="2045"/>
      <c r="W89" s="2045"/>
      <c r="X89" s="2045"/>
      <c r="Y89" s="2045"/>
      <c r="Z89" s="2045"/>
      <c r="AA89" s="2045"/>
      <c r="AB89" s="2045"/>
      <c r="AC89" s="2045"/>
      <c r="AD89" s="2045"/>
      <c r="AE89" s="2045"/>
      <c r="AF89" s="2045"/>
      <c r="AG89" s="2045"/>
      <c r="AH89" s="73"/>
    </row>
    <row r="90" spans="1:39" ht="15" customHeight="1">
      <c r="A90" s="1579" t="s">
        <v>1225</v>
      </c>
      <c r="B90" s="1579"/>
      <c r="C90" s="1579"/>
      <c r="D90" s="1579"/>
      <c r="E90" s="1579"/>
      <c r="F90" s="1579"/>
      <c r="G90" s="1579"/>
      <c r="H90" s="1579"/>
      <c r="I90" s="1579"/>
      <c r="J90" s="1579"/>
      <c r="K90" s="1579"/>
      <c r="L90" s="1579"/>
      <c r="M90" s="1579"/>
      <c r="N90" s="1579"/>
      <c r="O90" s="1579"/>
      <c r="P90" s="1579"/>
      <c r="Q90" s="1579"/>
      <c r="R90" s="1579"/>
      <c r="S90" s="1579"/>
      <c r="T90" s="1579"/>
      <c r="U90" s="1579"/>
      <c r="V90" s="1579"/>
      <c r="W90" s="1579"/>
      <c r="X90" s="1579"/>
      <c r="Y90" s="1579"/>
      <c r="Z90" s="1579"/>
      <c r="AA90" s="1579"/>
      <c r="AB90" s="1579"/>
      <c r="AC90" s="1579"/>
      <c r="AD90" s="1579"/>
      <c r="AE90" s="1579"/>
      <c r="AF90" s="1579"/>
      <c r="AG90" s="1579"/>
    </row>
    <row r="91" spans="1:39" ht="15" customHeight="1" thickBot="1">
      <c r="A91" s="314"/>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row>
    <row r="92" spans="1:39" ht="15" customHeight="1" thickBot="1">
      <c r="A92" s="1442" t="s">
        <v>1607</v>
      </c>
      <c r="B92" s="1442"/>
      <c r="C92" s="1442"/>
      <c r="D92" s="1442"/>
      <c r="E92" s="1442"/>
      <c r="F92" s="1442"/>
      <c r="G92" s="1442"/>
      <c r="H92" s="1442"/>
      <c r="I92" s="1524"/>
      <c r="J92" s="1496" t="str">
        <f>IF(AI93,"○","×")</f>
        <v>×</v>
      </c>
      <c r="K92" s="1497"/>
      <c r="L92" s="1497"/>
      <c r="M92" s="1497"/>
      <c r="N92" s="1498"/>
      <c r="O92" s="1538" t="s">
        <v>268</v>
      </c>
      <c r="P92" s="1539"/>
      <c r="Q92" s="1539"/>
      <c r="R92" s="314"/>
      <c r="S92" s="314"/>
      <c r="T92" s="314"/>
      <c r="U92" s="314"/>
      <c r="V92" s="314"/>
      <c r="W92" s="314"/>
      <c r="X92" s="314"/>
      <c r="Y92" s="314"/>
      <c r="Z92" s="314"/>
      <c r="AA92" s="314"/>
      <c r="AB92" s="314"/>
      <c r="AC92" s="314"/>
      <c r="AD92" s="314"/>
      <c r="AE92" s="314"/>
      <c r="AF92" s="314"/>
      <c r="AG92" s="314"/>
    </row>
    <row r="93" spans="1:39" ht="15" customHeight="1">
      <c r="A93" s="1411" t="s">
        <v>121</v>
      </c>
      <c r="B93" s="1412"/>
      <c r="C93" s="1412"/>
      <c r="D93" s="1412"/>
      <c r="E93" s="1439"/>
      <c r="F93" s="1417"/>
      <c r="G93" s="1639"/>
      <c r="H93" s="1639"/>
      <c r="I93" s="1639"/>
      <c r="J93" s="1639"/>
      <c r="K93" s="1418"/>
      <c r="L93" s="314"/>
      <c r="M93" s="314"/>
      <c r="N93" s="314"/>
      <c r="O93" s="314"/>
      <c r="P93" s="314"/>
      <c r="Q93" s="314"/>
      <c r="R93" s="314"/>
      <c r="S93" s="314"/>
      <c r="T93" s="314"/>
      <c r="U93" s="314"/>
      <c r="V93" s="921"/>
      <c r="W93" s="921"/>
      <c r="X93" s="921"/>
      <c r="Y93" s="921"/>
      <c r="Z93" s="921"/>
      <c r="AA93" s="921"/>
      <c r="AB93" s="921"/>
      <c r="AC93" s="921"/>
      <c r="AD93" s="921"/>
      <c r="AE93" s="314"/>
      <c r="AF93" s="314"/>
      <c r="AG93" s="314"/>
      <c r="AH93" s="73"/>
      <c r="AI93" s="134" t="b">
        <f>F93="申請する"</f>
        <v>0</v>
      </c>
    </row>
    <row r="94" spans="1:39" ht="15" customHeight="1">
      <c r="A94" s="1429" t="s">
        <v>73</v>
      </c>
      <c r="B94" s="1429"/>
      <c r="C94" s="1429"/>
      <c r="D94" s="1429"/>
      <c r="E94" s="1429"/>
      <c r="F94" s="1429"/>
      <c r="G94" s="1429"/>
      <c r="H94" s="1429"/>
      <c r="I94" s="1429"/>
      <c r="J94" s="1429"/>
      <c r="K94" s="1429"/>
      <c r="L94" s="1429"/>
      <c r="M94" s="1429"/>
      <c r="N94" s="1429"/>
      <c r="O94" s="1429"/>
      <c r="P94" s="1429"/>
      <c r="Q94" s="1429"/>
      <c r="R94" s="1429"/>
      <c r="S94" s="1429"/>
      <c r="T94" s="1429"/>
      <c r="U94" s="1429"/>
      <c r="V94" s="1429"/>
      <c r="W94" s="1429"/>
      <c r="X94" s="1429"/>
      <c r="Y94" s="1429"/>
      <c r="Z94" s="1429"/>
      <c r="AA94" s="1429"/>
      <c r="AB94" s="1429"/>
      <c r="AC94" s="1429"/>
      <c r="AD94" s="1429"/>
      <c r="AE94" s="1429"/>
      <c r="AF94" s="1429"/>
      <c r="AG94" s="1429"/>
    </row>
    <row r="95" spans="1:39" ht="15" customHeight="1" thickBot="1">
      <c r="A95" s="926"/>
      <c r="B95" s="926"/>
      <c r="C95" s="926"/>
      <c r="D95" s="926"/>
      <c r="E95" s="926"/>
      <c r="F95" s="926"/>
      <c r="G95" s="926"/>
      <c r="H95" s="926"/>
      <c r="I95" s="926"/>
      <c r="J95" s="926"/>
      <c r="K95" s="926"/>
      <c r="L95" s="926"/>
      <c r="M95" s="926"/>
      <c r="N95" s="926"/>
      <c r="O95" s="926"/>
      <c r="P95" s="926"/>
      <c r="Q95" s="926"/>
      <c r="R95" s="926"/>
      <c r="S95" s="926"/>
      <c r="T95" s="926"/>
      <c r="U95" s="926"/>
      <c r="V95" s="926"/>
      <c r="W95" s="926"/>
      <c r="X95" s="926"/>
      <c r="Y95" s="926"/>
      <c r="Z95" s="926"/>
      <c r="AA95" s="926"/>
      <c r="AB95" s="926"/>
      <c r="AC95" s="926"/>
      <c r="AD95" s="926"/>
      <c r="AE95" s="926"/>
      <c r="AF95" s="926"/>
      <c r="AG95" s="926"/>
    </row>
    <row r="96" spans="1:39" ht="15" customHeight="1" thickBot="1">
      <c r="A96" s="1442" t="s">
        <v>50</v>
      </c>
      <c r="B96" s="1442"/>
      <c r="C96" s="1442"/>
      <c r="D96" s="1442"/>
      <c r="E96" s="1442"/>
      <c r="F96" s="1442"/>
      <c r="G96" s="1442"/>
      <c r="H96" s="1442"/>
      <c r="I96" s="1442"/>
      <c r="J96" s="1496" t="str">
        <f>IF(AND(AI97,AI99,AI100,AI101,AI102,AI103),"○","×")</f>
        <v>×</v>
      </c>
      <c r="K96" s="1497"/>
      <c r="L96" s="1497"/>
      <c r="M96" s="1497"/>
      <c r="N96" s="1498"/>
      <c r="O96" s="1538" t="s">
        <v>268</v>
      </c>
      <c r="P96" s="1539"/>
      <c r="Q96" s="1539"/>
      <c r="R96" s="314"/>
      <c r="S96" s="314"/>
      <c r="T96" s="314"/>
      <c r="U96" s="314"/>
      <c r="V96" s="314"/>
      <c r="W96" s="314"/>
      <c r="X96" s="314"/>
      <c r="Y96" s="314"/>
      <c r="Z96" s="314"/>
      <c r="AA96" s="314"/>
      <c r="AB96" s="314"/>
      <c r="AC96" s="314"/>
      <c r="AD96" s="314"/>
      <c r="AE96" s="314"/>
      <c r="AF96" s="314"/>
      <c r="AG96" s="314"/>
      <c r="AI96" s="66"/>
    </row>
    <row r="97" spans="1:35" ht="15" customHeight="1">
      <c r="A97" s="1466" t="s">
        <v>121</v>
      </c>
      <c r="B97" s="1466"/>
      <c r="C97" s="1466"/>
      <c r="D97" s="1466"/>
      <c r="E97" s="1466"/>
      <c r="F97" s="1794"/>
      <c r="G97" s="1794"/>
      <c r="H97" s="1794"/>
      <c r="I97" s="1794"/>
      <c r="J97" s="1794"/>
      <c r="K97" s="1794"/>
      <c r="L97" s="314"/>
      <c r="M97" s="314"/>
      <c r="N97" s="314"/>
      <c r="O97" s="314"/>
      <c r="P97" s="314"/>
      <c r="Q97" s="314"/>
      <c r="R97" s="314"/>
      <c r="S97" s="314"/>
      <c r="T97" s="314"/>
      <c r="U97" s="314"/>
      <c r="V97" s="921"/>
      <c r="W97" s="921"/>
      <c r="X97" s="921"/>
      <c r="Y97" s="921"/>
      <c r="Z97" s="921"/>
      <c r="AA97" s="921"/>
      <c r="AB97" s="921"/>
      <c r="AC97" s="921"/>
      <c r="AD97" s="921"/>
      <c r="AE97" s="314"/>
      <c r="AF97" s="314"/>
      <c r="AG97" s="314"/>
      <c r="AI97" s="134" t="b">
        <f>F97="申請する"</f>
        <v>0</v>
      </c>
    </row>
    <row r="98" spans="1:35" ht="15" customHeight="1">
      <c r="A98" s="1637" t="s">
        <v>355</v>
      </c>
      <c r="B98" s="1869"/>
      <c r="C98" s="1869"/>
      <c r="D98" s="1869"/>
      <c r="E98" s="1869"/>
      <c r="F98" s="1528" t="s">
        <v>103</v>
      </c>
      <c r="G98" s="1466"/>
      <c r="H98" s="1466"/>
      <c r="I98" s="1466"/>
      <c r="J98" s="1466"/>
      <c r="K98" s="1466"/>
      <c r="L98" s="1466"/>
      <c r="M98" s="1466"/>
      <c r="N98" s="1466"/>
      <c r="O98" s="1466"/>
      <c r="P98" s="1466"/>
      <c r="Q98" s="1466"/>
      <c r="R98" s="1466"/>
      <c r="S98" s="1466"/>
      <c r="T98" s="1466"/>
      <c r="U98" s="1466"/>
      <c r="V98" s="1466"/>
      <c r="W98" s="1466"/>
      <c r="X98" s="1466"/>
      <c r="Y98" s="1466"/>
      <c r="Z98" s="1466"/>
      <c r="AA98" s="1466" t="s">
        <v>269</v>
      </c>
      <c r="AB98" s="1466"/>
      <c r="AC98" s="1466"/>
      <c r="AD98" s="1466"/>
      <c r="AE98" s="314"/>
      <c r="AF98" s="314"/>
      <c r="AG98" s="314"/>
      <c r="AI98" s="66"/>
    </row>
    <row r="99" spans="1:35" ht="39.950000000000003" customHeight="1">
      <c r="A99" s="1540"/>
      <c r="B99" s="1541"/>
      <c r="C99" s="1541"/>
      <c r="D99" s="1541"/>
      <c r="E99" s="1541"/>
      <c r="F99" s="922">
        <v>1</v>
      </c>
      <c r="G99" s="1429" t="s">
        <v>481</v>
      </c>
      <c r="H99" s="1429"/>
      <c r="I99" s="1429"/>
      <c r="J99" s="1429"/>
      <c r="K99" s="1429"/>
      <c r="L99" s="1429"/>
      <c r="M99" s="1429"/>
      <c r="N99" s="1429"/>
      <c r="O99" s="1429"/>
      <c r="P99" s="1429"/>
      <c r="Q99" s="1429"/>
      <c r="R99" s="1429"/>
      <c r="S99" s="1429"/>
      <c r="T99" s="1429"/>
      <c r="U99" s="1429"/>
      <c r="V99" s="1429"/>
      <c r="W99" s="1429"/>
      <c r="X99" s="1429"/>
      <c r="Y99" s="1429"/>
      <c r="Z99" s="1570"/>
      <c r="AA99" s="1509"/>
      <c r="AB99" s="1510"/>
      <c r="AC99" s="1510"/>
      <c r="AD99" s="1511"/>
      <c r="AE99" s="314"/>
      <c r="AF99" s="314"/>
      <c r="AG99" s="314"/>
      <c r="AI99" s="134" t="b">
        <f>AA99="○"</f>
        <v>0</v>
      </c>
    </row>
    <row r="100" spans="1:35" ht="50.1" customHeight="1">
      <c r="A100" s="1540"/>
      <c r="B100" s="1541"/>
      <c r="C100" s="1541"/>
      <c r="D100" s="1541"/>
      <c r="E100" s="1541"/>
      <c r="F100" s="934">
        <v>2</v>
      </c>
      <c r="G100" s="1515" t="s">
        <v>482</v>
      </c>
      <c r="H100" s="1515"/>
      <c r="I100" s="1515"/>
      <c r="J100" s="1515"/>
      <c r="K100" s="1515"/>
      <c r="L100" s="1515"/>
      <c r="M100" s="1515"/>
      <c r="N100" s="1515"/>
      <c r="O100" s="1515"/>
      <c r="P100" s="1515"/>
      <c r="Q100" s="1515"/>
      <c r="R100" s="1515"/>
      <c r="S100" s="1515"/>
      <c r="T100" s="1515"/>
      <c r="U100" s="1515"/>
      <c r="V100" s="1515"/>
      <c r="W100" s="1515"/>
      <c r="X100" s="1515"/>
      <c r="Y100" s="1515"/>
      <c r="Z100" s="1462"/>
      <c r="AA100" s="1509"/>
      <c r="AB100" s="1510"/>
      <c r="AC100" s="1510"/>
      <c r="AD100" s="1511"/>
      <c r="AE100" s="314"/>
      <c r="AF100" s="314"/>
      <c r="AG100" s="314"/>
      <c r="AI100" s="134" t="b">
        <f>AA100="○"</f>
        <v>0</v>
      </c>
    </row>
    <row r="101" spans="1:35" ht="15" customHeight="1">
      <c r="A101" s="1540"/>
      <c r="B101" s="1541"/>
      <c r="C101" s="1541"/>
      <c r="D101" s="1541"/>
      <c r="E101" s="1541"/>
      <c r="F101" s="953">
        <v>3</v>
      </c>
      <c r="G101" s="1547" t="s">
        <v>283</v>
      </c>
      <c r="H101" s="1547"/>
      <c r="I101" s="1547"/>
      <c r="J101" s="1547"/>
      <c r="K101" s="1547"/>
      <c r="L101" s="1547"/>
      <c r="M101" s="1547"/>
      <c r="N101" s="1547"/>
      <c r="O101" s="1547"/>
      <c r="P101" s="1547"/>
      <c r="Q101" s="1547"/>
      <c r="R101" s="1547"/>
      <c r="S101" s="1547"/>
      <c r="T101" s="1547"/>
      <c r="U101" s="1547"/>
      <c r="V101" s="1547"/>
      <c r="W101" s="1547"/>
      <c r="X101" s="1547"/>
      <c r="Y101" s="1547"/>
      <c r="Z101" s="1548"/>
      <c r="AA101" s="1509"/>
      <c r="AB101" s="1510"/>
      <c r="AC101" s="1510"/>
      <c r="AD101" s="1511"/>
      <c r="AE101" s="314"/>
      <c r="AF101" s="314"/>
      <c r="AG101" s="314"/>
      <c r="AI101" s="134" t="b">
        <f>AA101="○"</f>
        <v>0</v>
      </c>
    </row>
    <row r="102" spans="1:35" ht="15" customHeight="1">
      <c r="A102" s="1540"/>
      <c r="B102" s="1541"/>
      <c r="C102" s="1541"/>
      <c r="D102" s="1541"/>
      <c r="E102" s="1541"/>
      <c r="F102" s="927">
        <v>4</v>
      </c>
      <c r="G102" s="1515" t="s">
        <v>358</v>
      </c>
      <c r="H102" s="1515"/>
      <c r="I102" s="1515"/>
      <c r="J102" s="1515"/>
      <c r="K102" s="1515"/>
      <c r="L102" s="1515"/>
      <c r="M102" s="1515"/>
      <c r="N102" s="1515"/>
      <c r="O102" s="1515"/>
      <c r="P102" s="1515"/>
      <c r="Q102" s="1515"/>
      <c r="R102" s="1515"/>
      <c r="S102" s="1515"/>
      <c r="T102" s="1515"/>
      <c r="U102" s="1515"/>
      <c r="V102" s="1515"/>
      <c r="W102" s="1515"/>
      <c r="X102" s="1515"/>
      <c r="Y102" s="1515"/>
      <c r="Z102" s="1462"/>
      <c r="AA102" s="1483" t="str">
        <f>【様式５】職員数算出表!O52</f>
        <v>-</v>
      </c>
      <c r="AB102" s="1484"/>
      <c r="AC102" s="1484"/>
      <c r="AD102" s="1404"/>
      <c r="AE102" s="314"/>
      <c r="AF102" s="314"/>
      <c r="AG102" s="314"/>
      <c r="AI102" s="134" t="b">
        <f>AA102="○"</f>
        <v>0</v>
      </c>
    </row>
    <row r="103" spans="1:35" ht="24.95" customHeight="1">
      <c r="A103" s="1540"/>
      <c r="B103" s="1541"/>
      <c r="C103" s="1541"/>
      <c r="D103" s="1541"/>
      <c r="E103" s="1541"/>
      <c r="F103" s="927">
        <v>5</v>
      </c>
      <c r="G103" s="1515" t="s">
        <v>281</v>
      </c>
      <c r="H103" s="1515"/>
      <c r="I103" s="1515"/>
      <c r="J103" s="1515"/>
      <c r="K103" s="1515"/>
      <c r="L103" s="1515"/>
      <c r="M103" s="1515"/>
      <c r="N103" s="1515"/>
      <c r="O103" s="1515"/>
      <c r="P103" s="1515"/>
      <c r="Q103" s="1515"/>
      <c r="R103" s="1515"/>
      <c r="S103" s="1515"/>
      <c r="T103" s="1515"/>
      <c r="U103" s="1515"/>
      <c r="V103" s="1515"/>
      <c r="W103" s="1515"/>
      <c r="X103" s="1515"/>
      <c r="Y103" s="1515"/>
      <c r="Z103" s="1462"/>
      <c r="AA103" s="2047"/>
      <c r="AB103" s="2048"/>
      <c r="AC103" s="2048"/>
      <c r="AD103" s="2049"/>
      <c r="AE103" s="314"/>
      <c r="AF103" s="314"/>
      <c r="AG103" s="314"/>
      <c r="AI103" s="1420" t="b">
        <f>OR(AA103="○",AND(AA103="×",AA104="○"),AND(AA103="×",AA104="×",AA105="○"))</f>
        <v>0</v>
      </c>
    </row>
    <row r="104" spans="1:35" ht="24.95" customHeight="1">
      <c r="A104" s="1540"/>
      <c r="B104" s="1541"/>
      <c r="C104" s="1541"/>
      <c r="D104" s="1541"/>
      <c r="E104" s="1541"/>
      <c r="F104" s="1543" t="s">
        <v>156</v>
      </c>
      <c r="G104" s="1544"/>
      <c r="H104" s="1447" t="s">
        <v>282</v>
      </c>
      <c r="I104" s="1447"/>
      <c r="J104" s="1447"/>
      <c r="K104" s="1447"/>
      <c r="L104" s="1447"/>
      <c r="M104" s="1447"/>
      <c r="N104" s="1447"/>
      <c r="O104" s="1447"/>
      <c r="P104" s="1447"/>
      <c r="Q104" s="1447"/>
      <c r="R104" s="1447"/>
      <c r="S104" s="1447"/>
      <c r="T104" s="1447"/>
      <c r="U104" s="1447"/>
      <c r="V104" s="1447"/>
      <c r="W104" s="1447"/>
      <c r="X104" s="1447"/>
      <c r="Y104" s="1447"/>
      <c r="Z104" s="1448"/>
      <c r="AA104" s="1501"/>
      <c r="AB104" s="1502"/>
      <c r="AC104" s="1502"/>
      <c r="AD104" s="1503"/>
      <c r="AE104" s="314"/>
      <c r="AF104" s="314"/>
      <c r="AG104" s="314"/>
      <c r="AI104" s="2038"/>
    </row>
    <row r="105" spans="1:35" ht="39.950000000000003" customHeight="1">
      <c r="A105" s="1540"/>
      <c r="B105" s="1541"/>
      <c r="C105" s="1541"/>
      <c r="D105" s="1541"/>
      <c r="E105" s="1541"/>
      <c r="F105" s="1837" t="s">
        <v>88</v>
      </c>
      <c r="G105" s="1838"/>
      <c r="H105" s="1956" t="s">
        <v>470</v>
      </c>
      <c r="I105" s="1956"/>
      <c r="J105" s="1956"/>
      <c r="K105" s="1956"/>
      <c r="L105" s="1956"/>
      <c r="M105" s="1956"/>
      <c r="N105" s="1956"/>
      <c r="O105" s="1956"/>
      <c r="P105" s="1956"/>
      <c r="Q105" s="1956"/>
      <c r="R105" s="1956"/>
      <c r="S105" s="1956"/>
      <c r="T105" s="1956"/>
      <c r="U105" s="1956"/>
      <c r="V105" s="1956"/>
      <c r="W105" s="1956"/>
      <c r="X105" s="1956"/>
      <c r="Y105" s="1956"/>
      <c r="Z105" s="1957"/>
      <c r="AA105" s="1870" t="str">
        <f>IF(【様式５】職員数算出表!N53="○",【様式５】職員数算出表!O52,"")</f>
        <v/>
      </c>
      <c r="AB105" s="1870"/>
      <c r="AC105" s="1870"/>
      <c r="AD105" s="1871"/>
      <c r="AE105" s="314"/>
      <c r="AF105" s="314"/>
      <c r="AG105" s="314"/>
      <c r="AI105" s="1421"/>
    </row>
    <row r="106" spans="1:35" ht="15" customHeight="1">
      <c r="A106" s="1665" t="s">
        <v>51</v>
      </c>
      <c r="B106" s="1756"/>
      <c r="C106" s="1756"/>
      <c r="D106" s="1756"/>
      <c r="E106" s="1629"/>
      <c r="F106" s="1545" t="s">
        <v>550</v>
      </c>
      <c r="G106" s="1482"/>
      <c r="H106" s="1482"/>
      <c r="I106" s="1482"/>
      <c r="J106" s="1482"/>
      <c r="K106" s="1482"/>
      <c r="L106" s="1482"/>
      <c r="M106" s="1482"/>
      <c r="N106" s="1482"/>
      <c r="O106" s="1482"/>
      <c r="P106" s="1482"/>
      <c r="Q106" s="1482"/>
      <c r="R106" s="1482"/>
      <c r="S106" s="1482"/>
      <c r="T106" s="1482"/>
      <c r="U106" s="1482"/>
      <c r="V106" s="1482"/>
      <c r="W106" s="1482"/>
      <c r="X106" s="1482"/>
      <c r="Y106" s="1482"/>
      <c r="Z106" s="1482"/>
      <c r="AA106" s="1482"/>
      <c r="AB106" s="1482"/>
      <c r="AC106" s="1482"/>
      <c r="AD106" s="1546"/>
      <c r="AE106" s="314"/>
      <c r="AF106" s="314"/>
      <c r="AG106" s="314"/>
      <c r="AI106" s="66"/>
    </row>
    <row r="107" spans="1:35" ht="15" customHeight="1">
      <c r="A107" s="1630"/>
      <c r="B107" s="1539"/>
      <c r="C107" s="1539"/>
      <c r="D107" s="1539"/>
      <c r="E107" s="1631"/>
      <c r="F107" s="1848" t="s">
        <v>551</v>
      </c>
      <c r="G107" s="1849"/>
      <c r="H107" s="1849"/>
      <c r="I107" s="1849"/>
      <c r="J107" s="1849"/>
      <c r="K107" s="1849"/>
      <c r="L107" s="1849"/>
      <c r="M107" s="1849"/>
      <c r="N107" s="1849"/>
      <c r="O107" s="1849"/>
      <c r="P107" s="1849"/>
      <c r="Q107" s="1849"/>
      <c r="R107" s="1849"/>
      <c r="S107" s="1849"/>
      <c r="T107" s="1849"/>
      <c r="U107" s="1849"/>
      <c r="V107" s="1849"/>
      <c r="W107" s="1849"/>
      <c r="X107" s="1849"/>
      <c r="Y107" s="1849"/>
      <c r="Z107" s="1849"/>
      <c r="AA107" s="1849"/>
      <c r="AB107" s="1849"/>
      <c r="AC107" s="1849"/>
      <c r="AD107" s="1850"/>
      <c r="AE107" s="314"/>
      <c r="AF107" s="314"/>
      <c r="AG107" s="314"/>
      <c r="AI107" s="66"/>
    </row>
    <row r="108" spans="1:35" ht="15" customHeight="1">
      <c r="A108" s="1630"/>
      <c r="B108" s="1539"/>
      <c r="C108" s="1539"/>
      <c r="D108" s="1539"/>
      <c r="E108" s="1631"/>
      <c r="F108" s="1848" t="s">
        <v>552</v>
      </c>
      <c r="G108" s="1849"/>
      <c r="H108" s="1849"/>
      <c r="I108" s="1849"/>
      <c r="J108" s="1849"/>
      <c r="K108" s="1849"/>
      <c r="L108" s="1849"/>
      <c r="M108" s="1849"/>
      <c r="N108" s="1849"/>
      <c r="O108" s="1849"/>
      <c r="P108" s="1849"/>
      <c r="Q108" s="1849"/>
      <c r="R108" s="1849"/>
      <c r="S108" s="1849"/>
      <c r="T108" s="1849"/>
      <c r="U108" s="1849"/>
      <c r="V108" s="1849"/>
      <c r="W108" s="1849"/>
      <c r="X108" s="1849"/>
      <c r="Y108" s="1849"/>
      <c r="Z108" s="1849"/>
      <c r="AA108" s="1849"/>
      <c r="AB108" s="1849"/>
      <c r="AC108" s="1849"/>
      <c r="AD108" s="1850"/>
      <c r="AE108" s="314"/>
      <c r="AF108" s="314"/>
      <c r="AG108" s="314"/>
      <c r="AI108" s="66"/>
    </row>
    <row r="109" spans="1:35" ht="37.5" customHeight="1">
      <c r="A109" s="1630"/>
      <c r="B109" s="1539"/>
      <c r="C109" s="1539"/>
      <c r="D109" s="1539"/>
      <c r="E109" s="1631"/>
      <c r="F109" s="1796" t="s">
        <v>553</v>
      </c>
      <c r="G109" s="1623"/>
      <c r="H109" s="1623"/>
      <c r="I109" s="1623"/>
      <c r="J109" s="1623"/>
      <c r="K109" s="1623"/>
      <c r="L109" s="1623"/>
      <c r="M109" s="1623"/>
      <c r="N109" s="1623"/>
      <c r="O109" s="1623"/>
      <c r="P109" s="1623"/>
      <c r="Q109" s="1623"/>
      <c r="R109" s="1623"/>
      <c r="S109" s="1623"/>
      <c r="T109" s="1623"/>
      <c r="U109" s="1623"/>
      <c r="V109" s="1623"/>
      <c r="W109" s="1623"/>
      <c r="X109" s="1623"/>
      <c r="Y109" s="1623"/>
      <c r="Z109" s="1623"/>
      <c r="AA109" s="1623"/>
      <c r="AB109" s="1623"/>
      <c r="AC109" s="1623"/>
      <c r="AD109" s="1797"/>
      <c r="AE109" s="314"/>
      <c r="AF109" s="314"/>
      <c r="AG109" s="314"/>
      <c r="AI109" s="66"/>
    </row>
    <row r="110" spans="1:35" ht="15" customHeight="1">
      <c r="A110" s="1411"/>
      <c r="B110" s="1412"/>
      <c r="C110" s="1412"/>
      <c r="D110" s="1412"/>
      <c r="E110" s="1439"/>
      <c r="F110" s="1597" t="s">
        <v>554</v>
      </c>
      <c r="G110" s="1598"/>
      <c r="H110" s="1598"/>
      <c r="I110" s="1598"/>
      <c r="J110" s="1598"/>
      <c r="K110" s="1598"/>
      <c r="L110" s="1598"/>
      <c r="M110" s="1598"/>
      <c r="N110" s="1598"/>
      <c r="O110" s="1598"/>
      <c r="P110" s="1598"/>
      <c r="Q110" s="1598"/>
      <c r="R110" s="1598"/>
      <c r="S110" s="1598"/>
      <c r="T110" s="1598"/>
      <c r="U110" s="1598"/>
      <c r="V110" s="1598"/>
      <c r="W110" s="1598"/>
      <c r="X110" s="1598"/>
      <c r="Y110" s="1598"/>
      <c r="Z110" s="1598"/>
      <c r="AA110" s="1598"/>
      <c r="AB110" s="1598"/>
      <c r="AC110" s="1598"/>
      <c r="AD110" s="1599"/>
      <c r="AE110" s="314"/>
      <c r="AF110" s="314"/>
      <c r="AG110" s="314"/>
      <c r="AI110" s="66"/>
    </row>
    <row r="111" spans="1:35" ht="15" customHeight="1" thickBot="1">
      <c r="A111" s="314"/>
      <c r="B111" s="314"/>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row>
    <row r="112" spans="1:35" ht="15" customHeight="1" thickBot="1">
      <c r="A112" s="1533" t="s">
        <v>137</v>
      </c>
      <c r="B112" s="1533"/>
      <c r="C112" s="1533"/>
      <c r="D112" s="1533"/>
      <c r="E112" s="1533"/>
      <c r="F112" s="1533"/>
      <c r="G112" s="1533"/>
      <c r="H112" s="1533"/>
      <c r="I112" s="1533"/>
      <c r="J112" s="1496" t="str">
        <f>IFERROR(IF(AND(AI113,AI115,AI116),"○","×"),"エラー")</f>
        <v>×</v>
      </c>
      <c r="K112" s="1497"/>
      <c r="L112" s="1497"/>
      <c r="M112" s="1497"/>
      <c r="N112" s="1498"/>
      <c r="O112" s="1538" t="s">
        <v>268</v>
      </c>
      <c r="P112" s="1539"/>
      <c r="Q112" s="1539"/>
      <c r="R112" s="210"/>
      <c r="S112" s="210"/>
      <c r="T112" s="210"/>
      <c r="U112" s="210"/>
      <c r="V112" s="210"/>
      <c r="W112" s="210"/>
      <c r="X112" s="210"/>
      <c r="Y112" s="210"/>
      <c r="Z112" s="210"/>
      <c r="AA112" s="210"/>
      <c r="AB112" s="210"/>
      <c r="AC112" s="210"/>
      <c r="AD112" s="210"/>
      <c r="AE112" s="314"/>
      <c r="AF112" s="314"/>
      <c r="AG112" s="314"/>
    </row>
    <row r="113" spans="1:67" ht="15" customHeight="1">
      <c r="A113" s="1466" t="s">
        <v>121</v>
      </c>
      <c r="B113" s="1466"/>
      <c r="C113" s="1466"/>
      <c r="D113" s="1466"/>
      <c r="E113" s="1466"/>
      <c r="F113" s="1635"/>
      <c r="G113" s="1635"/>
      <c r="H113" s="1635"/>
      <c r="I113" s="1635"/>
      <c r="J113" s="1636"/>
      <c r="K113" s="1636"/>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I113" s="134" t="b">
        <f>F113="申請する"</f>
        <v>0</v>
      </c>
    </row>
    <row r="114" spans="1:67" ht="15" customHeight="1">
      <c r="A114" s="1907" t="s">
        <v>585</v>
      </c>
      <c r="B114" s="1908"/>
      <c r="C114" s="1908"/>
      <c r="D114" s="1908"/>
      <c r="E114" s="1908"/>
      <c r="F114" s="1528" t="s">
        <v>103</v>
      </c>
      <c r="G114" s="1466"/>
      <c r="H114" s="1466"/>
      <c r="I114" s="1466"/>
      <c r="J114" s="1466"/>
      <c r="K114" s="1466"/>
      <c r="L114" s="1466"/>
      <c r="M114" s="1466"/>
      <c r="N114" s="1466"/>
      <c r="O114" s="1466"/>
      <c r="P114" s="1466"/>
      <c r="Q114" s="1466"/>
      <c r="R114" s="1466"/>
      <c r="S114" s="1466"/>
      <c r="T114" s="1466"/>
      <c r="U114" s="1466"/>
      <c r="V114" s="1466"/>
      <c r="W114" s="1466"/>
      <c r="X114" s="1466"/>
      <c r="Y114" s="1466"/>
      <c r="Z114" s="1466"/>
      <c r="AA114" s="1466" t="s">
        <v>269</v>
      </c>
      <c r="AB114" s="1466"/>
      <c r="AC114" s="1466"/>
      <c r="AD114" s="1466"/>
      <c r="AE114" s="664"/>
      <c r="AF114" s="664"/>
      <c r="AG114" s="664"/>
      <c r="AH114" s="73"/>
      <c r="AI114" s="77"/>
    </row>
    <row r="115" spans="1:67" ht="24.95" customHeight="1">
      <c r="A115" s="1909"/>
      <c r="B115" s="1910"/>
      <c r="C115" s="1910"/>
      <c r="D115" s="1910"/>
      <c r="E115" s="1911"/>
      <c r="F115" s="941">
        <v>1</v>
      </c>
      <c r="G115" s="1831" t="s">
        <v>284</v>
      </c>
      <c r="H115" s="1831"/>
      <c r="I115" s="1831"/>
      <c r="J115" s="1831"/>
      <c r="K115" s="1831"/>
      <c r="L115" s="1831"/>
      <c r="M115" s="1831"/>
      <c r="N115" s="1831"/>
      <c r="O115" s="1831"/>
      <c r="P115" s="1831"/>
      <c r="Q115" s="1831"/>
      <c r="R115" s="1831"/>
      <c r="S115" s="1831"/>
      <c r="T115" s="1831"/>
      <c r="U115" s="1831"/>
      <c r="V115" s="1831"/>
      <c r="W115" s="1831"/>
      <c r="X115" s="1831"/>
      <c r="Y115" s="1831"/>
      <c r="Z115" s="1832"/>
      <c r="AA115" s="1567" t="str">
        <f>IF(AND(SUM(H14,H15,M14,M15)&gt;=36,SUM(H14,H15,M14,M15)&lt;=300),"○","×")</f>
        <v>×</v>
      </c>
      <c r="AB115" s="1567"/>
      <c r="AC115" s="1567"/>
      <c r="AD115" s="1567"/>
      <c r="AE115" s="664"/>
      <c r="AF115" s="664"/>
      <c r="AG115" s="664"/>
      <c r="AH115" s="73"/>
      <c r="AI115" s="134" t="b">
        <f>AA115="○"</f>
        <v>0</v>
      </c>
    </row>
    <row r="116" spans="1:67" ht="15" customHeight="1">
      <c r="A116" s="1912"/>
      <c r="B116" s="1913"/>
      <c r="C116" s="1913"/>
      <c r="D116" s="1913"/>
      <c r="E116" s="1914"/>
      <c r="F116" s="941">
        <v>2</v>
      </c>
      <c r="G116" s="1915" t="s">
        <v>471</v>
      </c>
      <c r="H116" s="1915"/>
      <c r="I116" s="1915"/>
      <c r="J116" s="1915"/>
      <c r="K116" s="1915"/>
      <c r="L116" s="1915"/>
      <c r="M116" s="1915"/>
      <c r="N116" s="1915"/>
      <c r="O116" s="1915"/>
      <c r="P116" s="1915"/>
      <c r="Q116" s="1915"/>
      <c r="R116" s="1915"/>
      <c r="S116" s="1915"/>
      <c r="T116" s="1915"/>
      <c r="U116" s="1915"/>
      <c r="V116" s="1915"/>
      <c r="W116" s="1915"/>
      <c r="X116" s="1915"/>
      <c r="Y116" s="1915"/>
      <c r="Z116" s="1915"/>
      <c r="AA116" s="1567" t="str">
        <f>【様式５】職員数算出表!O54</f>
        <v>-</v>
      </c>
      <c r="AB116" s="1567"/>
      <c r="AC116" s="1567"/>
      <c r="AD116" s="1567"/>
      <c r="AE116" s="664"/>
      <c r="AF116" s="664"/>
      <c r="AG116" s="664"/>
      <c r="AH116" s="73"/>
      <c r="AI116" s="134" t="b">
        <f>AA116="○"</f>
        <v>0</v>
      </c>
    </row>
    <row r="117" spans="1:67" s="73" customFormat="1" ht="15" customHeight="1">
      <c r="A117" s="1530" t="s">
        <v>51</v>
      </c>
      <c r="B117" s="1531"/>
      <c r="C117" s="1531"/>
      <c r="D117" s="1531"/>
      <c r="E117" s="1532"/>
      <c r="F117" s="1782" t="s">
        <v>472</v>
      </c>
      <c r="G117" s="1782"/>
      <c r="H117" s="1782"/>
      <c r="I117" s="1782"/>
      <c r="J117" s="1782"/>
      <c r="K117" s="1782"/>
      <c r="L117" s="1782"/>
      <c r="M117" s="1782"/>
      <c r="N117" s="1782"/>
      <c r="O117" s="1782"/>
      <c r="P117" s="1782"/>
      <c r="Q117" s="1782"/>
      <c r="R117" s="1782"/>
      <c r="S117" s="1782"/>
      <c r="T117" s="1782"/>
      <c r="U117" s="1782"/>
      <c r="V117" s="1782"/>
      <c r="W117" s="1782"/>
      <c r="X117" s="1782"/>
      <c r="Y117" s="1782"/>
      <c r="Z117" s="1782"/>
      <c r="AA117" s="1782"/>
      <c r="AB117" s="1782"/>
      <c r="AC117" s="1782"/>
      <c r="AD117" s="1783"/>
      <c r="AE117" s="664"/>
      <c r="AF117" s="664"/>
      <c r="AG117" s="664"/>
      <c r="AI117" s="77"/>
    </row>
    <row r="118" spans="1:67" ht="15" customHeight="1" thickBot="1">
      <c r="A118" s="676"/>
      <c r="B118" s="676"/>
      <c r="C118" s="676"/>
      <c r="D118" s="676"/>
      <c r="E118" s="676"/>
      <c r="F118" s="518"/>
      <c r="G118" s="518"/>
      <c r="H118" s="518"/>
      <c r="I118" s="518"/>
      <c r="J118" s="518"/>
      <c r="K118" s="518"/>
      <c r="L118" s="518"/>
      <c r="M118" s="518"/>
      <c r="N118" s="518"/>
      <c r="O118" s="518"/>
      <c r="P118" s="518"/>
      <c r="Q118" s="518"/>
      <c r="R118" s="518"/>
      <c r="S118" s="518"/>
      <c r="T118" s="518"/>
      <c r="U118" s="518"/>
      <c r="V118" s="518"/>
      <c r="W118" s="518"/>
      <c r="X118" s="518"/>
      <c r="Y118" s="518"/>
      <c r="Z118" s="518"/>
      <c r="AA118" s="182"/>
      <c r="AB118" s="182"/>
      <c r="AC118" s="182"/>
      <c r="AD118" s="182"/>
      <c r="AE118" s="664"/>
      <c r="AF118" s="664"/>
      <c r="AG118" s="664"/>
      <c r="AH118" s="73"/>
      <c r="AI118" s="66"/>
    </row>
    <row r="119" spans="1:67" ht="15" customHeight="1" thickBot="1">
      <c r="A119" s="1533" t="s">
        <v>138</v>
      </c>
      <c r="B119" s="1533"/>
      <c r="C119" s="1533"/>
      <c r="D119" s="1533"/>
      <c r="E119" s="1533"/>
      <c r="F119" s="1533"/>
      <c r="G119" s="1533"/>
      <c r="H119" s="1533"/>
      <c r="I119" s="1533"/>
      <c r="J119" s="1496" t="str">
        <f>IF(AND(AI120,AI122),"○","×")</f>
        <v>×</v>
      </c>
      <c r="K119" s="1497"/>
      <c r="L119" s="1497"/>
      <c r="M119" s="1497"/>
      <c r="N119" s="1498"/>
      <c r="O119" s="1538" t="s">
        <v>268</v>
      </c>
      <c r="P119" s="1539"/>
      <c r="Q119" s="1539"/>
      <c r="R119" s="314"/>
      <c r="S119" s="314"/>
      <c r="T119" s="314"/>
      <c r="U119" s="314"/>
      <c r="V119" s="314"/>
      <c r="W119" s="314"/>
      <c r="X119" s="314"/>
      <c r="Y119" s="314"/>
      <c r="Z119" s="314"/>
      <c r="AA119" s="314"/>
      <c r="AB119" s="314"/>
      <c r="AC119" s="314"/>
      <c r="AD119" s="314"/>
      <c r="AE119" s="314"/>
      <c r="AF119" s="314"/>
      <c r="AG119" s="314"/>
    </row>
    <row r="120" spans="1:67" ht="15" customHeight="1">
      <c r="A120" s="1466" t="s">
        <v>121</v>
      </c>
      <c r="B120" s="1466"/>
      <c r="C120" s="1466"/>
      <c r="D120" s="1466"/>
      <c r="E120" s="1466"/>
      <c r="F120" s="1635"/>
      <c r="G120" s="1635"/>
      <c r="H120" s="1635"/>
      <c r="I120" s="1635"/>
      <c r="J120" s="1636"/>
      <c r="K120" s="1636"/>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I120" s="134" t="b">
        <f>F120="申請する"</f>
        <v>0</v>
      </c>
    </row>
    <row r="121" spans="1:67" ht="15" customHeight="1">
      <c r="A121" s="1567" t="s">
        <v>147</v>
      </c>
      <c r="B121" s="1567"/>
      <c r="C121" s="1567"/>
      <c r="D121" s="1567"/>
      <c r="E121" s="1530"/>
      <c r="F121" s="1528" t="s">
        <v>103</v>
      </c>
      <c r="G121" s="1466"/>
      <c r="H121" s="1466"/>
      <c r="I121" s="1466"/>
      <c r="J121" s="1466"/>
      <c r="K121" s="1466"/>
      <c r="L121" s="1466"/>
      <c r="M121" s="1466"/>
      <c r="N121" s="1466"/>
      <c r="O121" s="1466"/>
      <c r="P121" s="1466"/>
      <c r="Q121" s="1466"/>
      <c r="R121" s="1466"/>
      <c r="S121" s="1466"/>
      <c r="T121" s="1466"/>
      <c r="U121" s="1466"/>
      <c r="V121" s="1466"/>
      <c r="W121" s="1466"/>
      <c r="X121" s="1466"/>
      <c r="Y121" s="1466"/>
      <c r="Z121" s="1466"/>
      <c r="AA121" s="1466" t="s">
        <v>269</v>
      </c>
      <c r="AB121" s="1466"/>
      <c r="AC121" s="1466"/>
      <c r="AD121" s="1466"/>
      <c r="AE121" s="664"/>
      <c r="AF121" s="664"/>
      <c r="AG121" s="664"/>
      <c r="AH121" s="664"/>
      <c r="AI121" s="77"/>
    </row>
    <row r="122" spans="1:67" ht="15" customHeight="1">
      <c r="A122" s="1567"/>
      <c r="B122" s="1567"/>
      <c r="C122" s="1567"/>
      <c r="D122" s="1567"/>
      <c r="E122" s="1567"/>
      <c r="F122" s="1485" t="s">
        <v>471</v>
      </c>
      <c r="G122" s="1485"/>
      <c r="H122" s="1485"/>
      <c r="I122" s="1485"/>
      <c r="J122" s="1485"/>
      <c r="K122" s="1485"/>
      <c r="L122" s="1485"/>
      <c r="M122" s="1485"/>
      <c r="N122" s="1485"/>
      <c r="O122" s="1485"/>
      <c r="P122" s="1485"/>
      <c r="Q122" s="1485"/>
      <c r="R122" s="1485"/>
      <c r="S122" s="1485"/>
      <c r="T122" s="1485"/>
      <c r="U122" s="1485"/>
      <c r="V122" s="1485"/>
      <c r="W122" s="1485"/>
      <c r="X122" s="1485"/>
      <c r="Y122" s="1485"/>
      <c r="Z122" s="1485"/>
      <c r="AA122" s="1567" t="str">
        <f>【様式５】職員数算出表!O55</f>
        <v>-</v>
      </c>
      <c r="AB122" s="1567"/>
      <c r="AC122" s="1567"/>
      <c r="AD122" s="1567"/>
      <c r="AE122" s="664"/>
      <c r="AF122" s="664"/>
      <c r="AG122" s="664"/>
      <c r="AH122" s="664"/>
      <c r="AI122" s="134" t="b">
        <f>AA122="○"</f>
        <v>0</v>
      </c>
    </row>
    <row r="123" spans="1:67" ht="15" customHeight="1">
      <c r="A123" s="1530" t="s">
        <v>51</v>
      </c>
      <c r="B123" s="1531"/>
      <c r="C123" s="1531"/>
      <c r="D123" s="1531"/>
      <c r="E123" s="1532"/>
      <c r="F123" s="1782" t="s">
        <v>472</v>
      </c>
      <c r="G123" s="1782"/>
      <c r="H123" s="1782"/>
      <c r="I123" s="1782"/>
      <c r="J123" s="1782"/>
      <c r="K123" s="1782"/>
      <c r="L123" s="1782"/>
      <c r="M123" s="1782"/>
      <c r="N123" s="1782"/>
      <c r="O123" s="1782"/>
      <c r="P123" s="1782"/>
      <c r="Q123" s="1782"/>
      <c r="R123" s="1782"/>
      <c r="S123" s="1782"/>
      <c r="T123" s="1782"/>
      <c r="U123" s="1782"/>
      <c r="V123" s="1782"/>
      <c r="W123" s="1782"/>
      <c r="X123" s="1782"/>
      <c r="Y123" s="1782"/>
      <c r="Z123" s="1782"/>
      <c r="AA123" s="1782"/>
      <c r="AB123" s="1782"/>
      <c r="AC123" s="1782"/>
      <c r="AD123" s="1783"/>
      <c r="AE123" s="664"/>
      <c r="AF123" s="664"/>
      <c r="AG123" s="664"/>
      <c r="AH123" s="664"/>
      <c r="AI123" s="77"/>
    </row>
    <row r="124" spans="1:67" ht="15" customHeight="1" thickBot="1">
      <c r="A124" s="1292"/>
      <c r="B124" s="1292"/>
      <c r="C124" s="1292"/>
      <c r="D124" s="1292"/>
      <c r="E124" s="1292"/>
      <c r="F124" s="1293"/>
      <c r="G124" s="1293"/>
      <c r="H124" s="1293"/>
      <c r="I124" s="1293"/>
      <c r="J124" s="1293"/>
      <c r="K124" s="1293"/>
      <c r="L124" s="1293"/>
      <c r="M124" s="1293"/>
      <c r="N124" s="1293"/>
      <c r="O124" s="1293"/>
      <c r="P124" s="1293"/>
      <c r="Q124" s="1293"/>
      <c r="R124" s="1293"/>
      <c r="S124" s="1293"/>
      <c r="T124" s="1293"/>
      <c r="U124" s="1293"/>
      <c r="V124" s="1293"/>
      <c r="W124" s="1293"/>
      <c r="X124" s="1293"/>
      <c r="Y124" s="1293"/>
      <c r="Z124" s="1293"/>
      <c r="AA124" s="1293"/>
      <c r="AB124" s="1293"/>
      <c r="AC124" s="1293"/>
      <c r="AD124" s="1293"/>
      <c r="AE124" s="664"/>
      <c r="AF124" s="664"/>
      <c r="AG124" s="664"/>
      <c r="AH124" s="664"/>
      <c r="AI124" s="77"/>
    </row>
    <row r="125" spans="1:67" s="73" customFormat="1" ht="15" customHeight="1" thickBot="1">
      <c r="A125" s="1533" t="s">
        <v>1526</v>
      </c>
      <c r="B125" s="1533"/>
      <c r="C125" s="1533"/>
      <c r="D125" s="1533"/>
      <c r="E125" s="1533"/>
      <c r="F125" s="1533"/>
      <c r="G125" s="1533"/>
      <c r="H125" s="1533"/>
      <c r="I125" s="1533"/>
      <c r="J125" s="1496" t="str">
        <f>IF(AND(AI126,AI128,AI129),"○","×")</f>
        <v>×</v>
      </c>
      <c r="K125" s="1497"/>
      <c r="L125" s="1497"/>
      <c r="M125" s="1497"/>
      <c r="N125" s="1498"/>
      <c r="O125" s="1538" t="s">
        <v>268</v>
      </c>
      <c r="P125" s="1539"/>
      <c r="Q125" s="1539"/>
      <c r="R125" s="314"/>
      <c r="S125" s="314"/>
      <c r="T125" s="314"/>
      <c r="U125" s="314"/>
      <c r="V125" s="314"/>
      <c r="W125" s="314"/>
      <c r="X125" s="314"/>
      <c r="Y125" s="314"/>
      <c r="Z125" s="314"/>
      <c r="AA125" s="314"/>
      <c r="AB125" s="314"/>
      <c r="AC125" s="314"/>
      <c r="AD125" s="314"/>
      <c r="AE125" s="314"/>
      <c r="AF125" s="314"/>
      <c r="AG125" s="314"/>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row>
    <row r="126" spans="1:67" s="73" customFormat="1" ht="15" customHeight="1">
      <c r="A126" s="1466" t="s">
        <v>121</v>
      </c>
      <c r="B126" s="1466"/>
      <c r="C126" s="1466"/>
      <c r="D126" s="1466"/>
      <c r="E126" s="1466"/>
      <c r="F126" s="1635"/>
      <c r="G126" s="1635"/>
      <c r="H126" s="1635"/>
      <c r="I126" s="1635"/>
      <c r="J126" s="1636"/>
      <c r="K126" s="1636"/>
      <c r="L126" s="1302" t="str">
        <f>IF($F$170="申請する","←チーム保育加配加算ありのためこちらは「申請しない」を選択","")</f>
        <v/>
      </c>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I126" s="1283" t="b">
        <f>F126="申請する"</f>
        <v>0</v>
      </c>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row>
    <row r="127" spans="1:67" s="73" customFormat="1" ht="15" customHeight="1">
      <c r="A127" s="1612" t="s">
        <v>147</v>
      </c>
      <c r="B127" s="1613"/>
      <c r="C127" s="1613"/>
      <c r="D127" s="1613"/>
      <c r="E127" s="1613"/>
      <c r="F127" s="1616" t="s">
        <v>103</v>
      </c>
      <c r="G127" s="1466"/>
      <c r="H127" s="1466"/>
      <c r="I127" s="1466"/>
      <c r="J127" s="1466"/>
      <c r="K127" s="1466"/>
      <c r="L127" s="1466"/>
      <c r="M127" s="1466"/>
      <c r="N127" s="1466"/>
      <c r="O127" s="1466"/>
      <c r="P127" s="1466"/>
      <c r="Q127" s="1466"/>
      <c r="R127" s="1466"/>
      <c r="S127" s="1466"/>
      <c r="T127" s="1466"/>
      <c r="U127" s="1466"/>
      <c r="V127" s="1466"/>
      <c r="W127" s="1466"/>
      <c r="X127" s="1466"/>
      <c r="Y127" s="1466"/>
      <c r="Z127" s="1466"/>
      <c r="AA127" s="1466" t="s">
        <v>269</v>
      </c>
      <c r="AB127" s="1466"/>
      <c r="AC127" s="1466"/>
      <c r="AD127" s="1466"/>
      <c r="AE127" s="314"/>
      <c r="AF127" s="314"/>
      <c r="AG127" s="314"/>
      <c r="AI127" s="77"/>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row>
    <row r="128" spans="1:67" s="73" customFormat="1" ht="15" customHeight="1">
      <c r="A128" s="1614"/>
      <c r="B128" s="1603"/>
      <c r="C128" s="1603"/>
      <c r="D128" s="1603"/>
      <c r="E128" s="1603"/>
      <c r="F128" s="1485" t="s">
        <v>1524</v>
      </c>
      <c r="G128" s="1485"/>
      <c r="H128" s="1485"/>
      <c r="I128" s="1485"/>
      <c r="J128" s="1485"/>
      <c r="K128" s="1485"/>
      <c r="L128" s="1485"/>
      <c r="M128" s="1485"/>
      <c r="N128" s="1485"/>
      <c r="O128" s="1485"/>
      <c r="P128" s="1485"/>
      <c r="Q128" s="1485"/>
      <c r="R128" s="1485"/>
      <c r="S128" s="1485"/>
      <c r="T128" s="1485"/>
      <c r="U128" s="1485"/>
      <c r="V128" s="1485"/>
      <c r="W128" s="1485"/>
      <c r="X128" s="1485"/>
      <c r="Y128" s="1485"/>
      <c r="Z128" s="1485"/>
      <c r="AA128" s="1567" t="str">
        <f>IF(【様式５】職員数算出表!$O$167&gt;=0,"○","×")</f>
        <v>×</v>
      </c>
      <c r="AB128" s="1567"/>
      <c r="AC128" s="1567"/>
      <c r="AD128" s="1567"/>
      <c r="AE128" s="314"/>
      <c r="AF128" s="314"/>
      <c r="AG128" s="314"/>
      <c r="AI128" s="1283" t="b">
        <f>AA128="○"</f>
        <v>0</v>
      </c>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row>
    <row r="129" spans="1:67" s="73" customFormat="1" ht="15" customHeight="1">
      <c r="A129" s="1615"/>
      <c r="B129" s="1580"/>
      <c r="C129" s="1580"/>
      <c r="D129" s="1580"/>
      <c r="E129" s="1580"/>
      <c r="F129" s="1486" t="s">
        <v>1525</v>
      </c>
      <c r="G129" s="1485"/>
      <c r="H129" s="1485"/>
      <c r="I129" s="1485"/>
      <c r="J129" s="1485"/>
      <c r="K129" s="1485"/>
      <c r="L129" s="1485"/>
      <c r="M129" s="1485"/>
      <c r="N129" s="1485"/>
      <c r="O129" s="1485"/>
      <c r="P129" s="1485"/>
      <c r="Q129" s="1485"/>
      <c r="R129" s="1485"/>
      <c r="S129" s="1485"/>
      <c r="T129" s="1485"/>
      <c r="U129" s="1485"/>
      <c r="V129" s="1485"/>
      <c r="W129" s="1485"/>
      <c r="X129" s="1485"/>
      <c r="Y129" s="1485"/>
      <c r="Z129" s="1485"/>
      <c r="AA129" s="1567" t="str">
        <f>IF(J169="×","○","×")</f>
        <v>○</v>
      </c>
      <c r="AB129" s="1567"/>
      <c r="AC129" s="1567"/>
      <c r="AD129" s="1567"/>
      <c r="AE129" s="314"/>
      <c r="AF129" s="314"/>
      <c r="AG129" s="314"/>
      <c r="AI129" s="1283" t="b">
        <f>AA129="○"</f>
        <v>1</v>
      </c>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row>
    <row r="130" spans="1:67" s="73" customFormat="1" ht="15" customHeight="1">
      <c r="A130" s="1466" t="s">
        <v>51</v>
      </c>
      <c r="B130" s="1466"/>
      <c r="C130" s="1466"/>
      <c r="D130" s="1466"/>
      <c r="E130" s="1466"/>
      <c r="F130" s="1467" t="s">
        <v>467</v>
      </c>
      <c r="G130" s="1468"/>
      <c r="H130" s="1468"/>
      <c r="I130" s="1468"/>
      <c r="J130" s="1468"/>
      <c r="K130" s="1468"/>
      <c r="L130" s="1468"/>
      <c r="M130" s="1468"/>
      <c r="N130" s="1468"/>
      <c r="O130" s="1468"/>
      <c r="P130" s="1468"/>
      <c r="Q130" s="1468"/>
      <c r="R130" s="1468"/>
      <c r="S130" s="1468"/>
      <c r="T130" s="1468"/>
      <c r="U130" s="1468"/>
      <c r="V130" s="1468"/>
      <c r="W130" s="1468"/>
      <c r="X130" s="1468"/>
      <c r="Y130" s="1468"/>
      <c r="Z130" s="1468"/>
      <c r="AA130" s="1468"/>
      <c r="AB130" s="1468"/>
      <c r="AC130" s="1468"/>
      <c r="AD130" s="1469"/>
      <c r="AE130" s="314"/>
      <c r="AF130" s="314"/>
      <c r="AG130" s="314"/>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row>
    <row r="131" spans="1:67" s="73" customFormat="1" ht="15" customHeight="1" thickBot="1">
      <c r="A131" s="1313"/>
      <c r="B131" s="1313"/>
      <c r="C131" s="1313"/>
      <c r="D131" s="1313"/>
      <c r="E131" s="1313"/>
      <c r="F131" s="1314"/>
      <c r="G131" s="1314"/>
      <c r="H131" s="1314"/>
      <c r="I131" s="1314"/>
      <c r="J131" s="1314"/>
      <c r="K131" s="1314"/>
      <c r="L131" s="1314"/>
      <c r="M131" s="1314"/>
      <c r="N131" s="1314"/>
      <c r="O131" s="1314"/>
      <c r="P131" s="1314"/>
      <c r="Q131" s="1314"/>
      <c r="R131" s="1314"/>
      <c r="S131" s="1314"/>
      <c r="T131" s="1314"/>
      <c r="U131" s="1314"/>
      <c r="V131" s="1314"/>
      <c r="W131" s="1314"/>
      <c r="X131" s="1314"/>
      <c r="Y131" s="1314"/>
      <c r="Z131" s="1314"/>
      <c r="AA131" s="1314"/>
      <c r="AB131" s="1314"/>
      <c r="AC131" s="1314"/>
      <c r="AD131" s="1314"/>
      <c r="AE131" s="314"/>
      <c r="AF131" s="314"/>
      <c r="AG131" s="314"/>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row>
    <row r="132" spans="1:67" s="73" customFormat="1" ht="15" customHeight="1" thickBot="1">
      <c r="A132" s="1442" t="s">
        <v>1608</v>
      </c>
      <c r="B132" s="1442"/>
      <c r="C132" s="1442"/>
      <c r="D132" s="1442"/>
      <c r="E132" s="1442"/>
      <c r="F132" s="1442"/>
      <c r="G132" s="1442"/>
      <c r="H132" s="1442"/>
      <c r="I132" s="1442"/>
      <c r="J132" s="1496" t="str">
        <f>IF(AND(AI133,AI135,AI136,AI137,AI142),"○","×")</f>
        <v>×</v>
      </c>
      <c r="K132" s="1497"/>
      <c r="L132" s="1497"/>
      <c r="M132" s="1497"/>
      <c r="N132" s="1498"/>
      <c r="O132" s="1538" t="s">
        <v>268</v>
      </c>
      <c r="P132" s="1539"/>
      <c r="Q132" s="1539"/>
      <c r="R132" s="314"/>
      <c r="S132" s="314"/>
      <c r="T132" s="314"/>
      <c r="U132" s="314"/>
      <c r="V132" s="314"/>
      <c r="W132" s="314"/>
      <c r="X132" s="314"/>
      <c r="Y132" s="314"/>
      <c r="Z132" s="314"/>
      <c r="AA132" s="314"/>
      <c r="AB132" s="314"/>
      <c r="AC132" s="314"/>
      <c r="AD132" s="314"/>
      <c r="AE132" s="314"/>
      <c r="AF132" s="314"/>
      <c r="AG132" s="314"/>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row>
    <row r="133" spans="1:67" s="73" customFormat="1" ht="15" customHeight="1">
      <c r="A133" s="1466" t="s">
        <v>121</v>
      </c>
      <c r="B133" s="1466"/>
      <c r="C133" s="1466"/>
      <c r="D133" s="1466"/>
      <c r="E133" s="1466"/>
      <c r="F133" s="1635"/>
      <c r="G133" s="1635"/>
      <c r="H133" s="1635"/>
      <c r="I133" s="1635"/>
      <c r="J133" s="1636"/>
      <c r="K133" s="1636"/>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I133" s="69" t="b">
        <f>F133="申請する"</f>
        <v>0</v>
      </c>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row>
    <row r="134" spans="1:67" s="73" customFormat="1" ht="15" customHeight="1">
      <c r="A134" s="1847" t="s">
        <v>296</v>
      </c>
      <c r="B134" s="1403"/>
      <c r="C134" s="1403"/>
      <c r="D134" s="1403"/>
      <c r="E134" s="1403"/>
      <c r="F134" s="1714" t="s">
        <v>103</v>
      </c>
      <c r="G134" s="1714"/>
      <c r="H134" s="1714"/>
      <c r="I134" s="1714"/>
      <c r="J134" s="1714"/>
      <c r="K134" s="1714"/>
      <c r="L134" s="1714"/>
      <c r="M134" s="1714"/>
      <c r="N134" s="1714"/>
      <c r="O134" s="1714"/>
      <c r="P134" s="1714"/>
      <c r="Q134" s="1714"/>
      <c r="R134" s="1714"/>
      <c r="S134" s="1714"/>
      <c r="T134" s="1714"/>
      <c r="U134" s="1714"/>
      <c r="V134" s="1714"/>
      <c r="W134" s="1714"/>
      <c r="X134" s="1714"/>
      <c r="Y134" s="1714"/>
      <c r="Z134" s="1616"/>
      <c r="AA134" s="1713" t="s">
        <v>269</v>
      </c>
      <c r="AB134" s="1714"/>
      <c r="AC134" s="1714"/>
      <c r="AD134" s="1616"/>
      <c r="AE134" s="314"/>
      <c r="AF134" s="314"/>
      <c r="AG134" s="314"/>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row>
    <row r="135" spans="1:67" s="73" customFormat="1" ht="15" customHeight="1">
      <c r="A135" s="1540"/>
      <c r="B135" s="1541"/>
      <c r="C135" s="1541"/>
      <c r="D135" s="1541"/>
      <c r="E135" s="1541"/>
      <c r="F135" s="1317">
        <v>1</v>
      </c>
      <c r="G135" s="1461" t="s">
        <v>1594</v>
      </c>
      <c r="H135" s="1461"/>
      <c r="I135" s="1461"/>
      <c r="J135" s="1461"/>
      <c r="K135" s="1461"/>
      <c r="L135" s="1461"/>
      <c r="M135" s="1461"/>
      <c r="N135" s="1461"/>
      <c r="O135" s="1461"/>
      <c r="P135" s="1461"/>
      <c r="Q135" s="1461"/>
      <c r="R135" s="1461"/>
      <c r="S135" s="1461"/>
      <c r="T135" s="1461"/>
      <c r="U135" s="1461"/>
      <c r="V135" s="1461"/>
      <c r="W135" s="1461"/>
      <c r="X135" s="1461"/>
      <c r="Y135" s="1461"/>
      <c r="Z135" s="1462"/>
      <c r="AA135" s="1930" t="str">
        <f>IF(【様式５】職員数算出表!$S$57,"○","×")</f>
        <v>×</v>
      </c>
      <c r="AB135" s="1931"/>
      <c r="AC135" s="1931"/>
      <c r="AD135" s="1932"/>
      <c r="AE135" s="314"/>
      <c r="AF135" s="314"/>
      <c r="AG135" s="314"/>
      <c r="AI135" s="69" t="b">
        <f>AA135="○"</f>
        <v>0</v>
      </c>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row>
    <row r="136" spans="1:67" s="73" customFormat="1" ht="30" customHeight="1">
      <c r="A136" s="1540"/>
      <c r="B136" s="1541"/>
      <c r="C136" s="1541"/>
      <c r="D136" s="1541"/>
      <c r="E136" s="1541"/>
      <c r="F136" s="1317">
        <v>2</v>
      </c>
      <c r="G136" s="1461" t="s">
        <v>1595</v>
      </c>
      <c r="H136" s="1461"/>
      <c r="I136" s="1461"/>
      <c r="J136" s="1461"/>
      <c r="K136" s="1461"/>
      <c r="L136" s="1461"/>
      <c r="M136" s="1461"/>
      <c r="N136" s="1461"/>
      <c r="O136" s="1461"/>
      <c r="P136" s="1461"/>
      <c r="Q136" s="1461"/>
      <c r="R136" s="1461"/>
      <c r="S136" s="1461"/>
      <c r="T136" s="1461"/>
      <c r="U136" s="1461"/>
      <c r="V136" s="1461"/>
      <c r="W136" s="1461"/>
      <c r="X136" s="1461"/>
      <c r="Y136" s="1461"/>
      <c r="Z136" s="1462"/>
      <c r="AA136" s="1417"/>
      <c r="AB136" s="1639"/>
      <c r="AC136" s="1639"/>
      <c r="AD136" s="1418"/>
      <c r="AE136" s="314"/>
      <c r="AF136" s="314"/>
      <c r="AG136" s="314"/>
      <c r="AI136" s="69" t="b">
        <f>AA136="○"</f>
        <v>0</v>
      </c>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row>
    <row r="137" spans="1:67" s="73" customFormat="1" ht="30" customHeight="1">
      <c r="A137" s="1540"/>
      <c r="B137" s="1541"/>
      <c r="C137" s="1541"/>
      <c r="D137" s="1541"/>
      <c r="E137" s="1541"/>
      <c r="F137" s="1318">
        <v>3</v>
      </c>
      <c r="G137" s="1461" t="s">
        <v>1596</v>
      </c>
      <c r="H137" s="1461"/>
      <c r="I137" s="1461"/>
      <c r="J137" s="1798"/>
      <c r="K137" s="1798"/>
      <c r="L137" s="1798"/>
      <c r="M137" s="1798"/>
      <c r="N137" s="1798"/>
      <c r="O137" s="1798"/>
      <c r="P137" s="1798"/>
      <c r="Q137" s="1798"/>
      <c r="R137" s="1798"/>
      <c r="S137" s="1798"/>
      <c r="T137" s="1798"/>
      <c r="U137" s="1798"/>
      <c r="V137" s="1798"/>
      <c r="W137" s="1798"/>
      <c r="X137" s="1798"/>
      <c r="Y137" s="1798"/>
      <c r="Z137" s="1799"/>
      <c r="AA137" s="1800" t="str">
        <f>IF(AND(AI138,OR(AI139,AI140,AI141)),"○","×")</f>
        <v>×</v>
      </c>
      <c r="AB137" s="1801"/>
      <c r="AC137" s="1801"/>
      <c r="AD137" s="1802"/>
      <c r="AE137" s="314"/>
      <c r="AF137" s="314"/>
      <c r="AG137" s="314"/>
      <c r="AI137" s="69" t="b">
        <f>AA137="○"</f>
        <v>0</v>
      </c>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5"/>
      <c r="BF137" s="65"/>
      <c r="BG137" s="65"/>
      <c r="BH137" s="65"/>
      <c r="BI137" s="65"/>
      <c r="BJ137" s="65"/>
      <c r="BK137" s="65"/>
      <c r="BL137" s="65"/>
      <c r="BM137" s="65"/>
      <c r="BN137" s="65"/>
      <c r="BO137" s="65"/>
    </row>
    <row r="138" spans="1:67" s="73" customFormat="1" ht="15" customHeight="1">
      <c r="A138" s="1540"/>
      <c r="B138" s="1541"/>
      <c r="C138" s="1541"/>
      <c r="D138" s="1541"/>
      <c r="E138" s="1541"/>
      <c r="F138" s="1319" t="s">
        <v>156</v>
      </c>
      <c r="G138" s="1446" t="s">
        <v>1597</v>
      </c>
      <c r="H138" s="1447"/>
      <c r="I138" s="1447"/>
      <c r="J138" s="1447"/>
      <c r="K138" s="1447"/>
      <c r="L138" s="1447"/>
      <c r="M138" s="1447"/>
      <c r="N138" s="1447"/>
      <c r="O138" s="1447"/>
      <c r="P138" s="1447"/>
      <c r="Q138" s="1447"/>
      <c r="R138" s="1447"/>
      <c r="S138" s="1447"/>
      <c r="T138" s="1447"/>
      <c r="U138" s="1447"/>
      <c r="V138" s="1447"/>
      <c r="W138" s="1447"/>
      <c r="X138" s="1447"/>
      <c r="Y138" s="1447"/>
      <c r="Z138" s="1448"/>
      <c r="AA138" s="1443"/>
      <c r="AB138" s="1444"/>
      <c r="AC138" s="1444"/>
      <c r="AD138" s="1445"/>
      <c r="AE138" s="314"/>
      <c r="AF138" s="314"/>
      <c r="AG138" s="314"/>
      <c r="AI138" s="69" t="b">
        <f t="shared" ref="AI138:AI142" si="10">AA138="○"</f>
        <v>0</v>
      </c>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row>
    <row r="139" spans="1:67" s="73" customFormat="1" ht="15" customHeight="1">
      <c r="A139" s="1540"/>
      <c r="B139" s="1541"/>
      <c r="C139" s="1541"/>
      <c r="D139" s="1541"/>
      <c r="E139" s="1541"/>
      <c r="F139" s="1319" t="s">
        <v>88</v>
      </c>
      <c r="G139" s="1446" t="s">
        <v>1598</v>
      </c>
      <c r="H139" s="1447"/>
      <c r="I139" s="1447"/>
      <c r="J139" s="1447"/>
      <c r="K139" s="1447"/>
      <c r="L139" s="1447"/>
      <c r="M139" s="1447"/>
      <c r="N139" s="1447"/>
      <c r="O139" s="1447"/>
      <c r="P139" s="1447"/>
      <c r="Q139" s="1447"/>
      <c r="R139" s="1447"/>
      <c r="S139" s="1447"/>
      <c r="T139" s="1447"/>
      <c r="U139" s="1447"/>
      <c r="V139" s="1447"/>
      <c r="W139" s="1447"/>
      <c r="X139" s="1447"/>
      <c r="Y139" s="1447"/>
      <c r="Z139" s="1448"/>
      <c r="AA139" s="1449"/>
      <c r="AB139" s="1450"/>
      <c r="AC139" s="1450"/>
      <c r="AD139" s="1451"/>
      <c r="AE139" s="314"/>
      <c r="AF139" s="314"/>
      <c r="AG139" s="314"/>
      <c r="AI139" s="69" t="b">
        <f t="shared" si="10"/>
        <v>0</v>
      </c>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row>
    <row r="140" spans="1:67" s="73" customFormat="1" ht="15" customHeight="1">
      <c r="A140" s="1540"/>
      <c r="B140" s="1541"/>
      <c r="C140" s="1541"/>
      <c r="D140" s="1541"/>
      <c r="E140" s="1541"/>
      <c r="F140" s="1319" t="s">
        <v>274</v>
      </c>
      <c r="G140" s="1446" t="s">
        <v>1599</v>
      </c>
      <c r="H140" s="1447"/>
      <c r="I140" s="1447"/>
      <c r="J140" s="1447"/>
      <c r="K140" s="1447"/>
      <c r="L140" s="1447"/>
      <c r="M140" s="1447"/>
      <c r="N140" s="1447"/>
      <c r="O140" s="1447"/>
      <c r="P140" s="1447"/>
      <c r="Q140" s="1447"/>
      <c r="R140" s="1447"/>
      <c r="S140" s="1447"/>
      <c r="T140" s="1447"/>
      <c r="U140" s="1447"/>
      <c r="V140" s="1447"/>
      <c r="W140" s="1447"/>
      <c r="X140" s="1447"/>
      <c r="Y140" s="1447"/>
      <c r="Z140" s="1448"/>
      <c r="AA140" s="1452"/>
      <c r="AB140" s="1453"/>
      <c r="AC140" s="1453"/>
      <c r="AD140" s="1454"/>
      <c r="AE140" s="314"/>
      <c r="AF140" s="314"/>
      <c r="AG140" s="314"/>
      <c r="AI140" s="69" t="b">
        <f t="shared" si="10"/>
        <v>0</v>
      </c>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row>
    <row r="141" spans="1:67" s="73" customFormat="1" ht="15" customHeight="1">
      <c r="A141" s="1540"/>
      <c r="B141" s="1541"/>
      <c r="C141" s="1541"/>
      <c r="D141" s="1541"/>
      <c r="E141" s="1541"/>
      <c r="F141" s="1320" t="s">
        <v>384</v>
      </c>
      <c r="G141" s="1455" t="s">
        <v>1600</v>
      </c>
      <c r="H141" s="1456"/>
      <c r="I141" s="1456"/>
      <c r="J141" s="1456"/>
      <c r="K141" s="1456"/>
      <c r="L141" s="1456"/>
      <c r="M141" s="1456"/>
      <c r="N141" s="1456"/>
      <c r="O141" s="1456"/>
      <c r="P141" s="1456"/>
      <c r="Q141" s="1456"/>
      <c r="R141" s="1456"/>
      <c r="S141" s="1456"/>
      <c r="T141" s="1456"/>
      <c r="U141" s="1456"/>
      <c r="V141" s="1456"/>
      <c r="W141" s="1456"/>
      <c r="X141" s="1456"/>
      <c r="Y141" s="1456"/>
      <c r="Z141" s="1457"/>
      <c r="AA141" s="1458"/>
      <c r="AB141" s="1459"/>
      <c r="AC141" s="1459"/>
      <c r="AD141" s="1460"/>
      <c r="AE141" s="314"/>
      <c r="AF141" s="314"/>
      <c r="AG141" s="314"/>
      <c r="AI141" s="69" t="b">
        <f t="shared" si="10"/>
        <v>0</v>
      </c>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row>
    <row r="142" spans="1:67" s="73" customFormat="1" ht="45" customHeight="1">
      <c r="A142" s="1542"/>
      <c r="B142" s="1407"/>
      <c r="C142" s="1407"/>
      <c r="D142" s="1407"/>
      <c r="E142" s="1407"/>
      <c r="F142" s="1315">
        <v>4</v>
      </c>
      <c r="G142" s="1461" t="s">
        <v>1601</v>
      </c>
      <c r="H142" s="1461"/>
      <c r="I142" s="1461"/>
      <c r="J142" s="1461"/>
      <c r="K142" s="1461"/>
      <c r="L142" s="1461"/>
      <c r="M142" s="1461"/>
      <c r="N142" s="1461"/>
      <c r="O142" s="1461"/>
      <c r="P142" s="1461"/>
      <c r="Q142" s="1461"/>
      <c r="R142" s="1461"/>
      <c r="S142" s="1461"/>
      <c r="T142" s="1461"/>
      <c r="U142" s="1461"/>
      <c r="V142" s="1461"/>
      <c r="W142" s="1461"/>
      <c r="X142" s="1461"/>
      <c r="Y142" s="1461"/>
      <c r="Z142" s="1462"/>
      <c r="AA142" s="1463"/>
      <c r="AB142" s="1464"/>
      <c r="AC142" s="1464"/>
      <c r="AD142" s="1465"/>
      <c r="AE142" s="314"/>
      <c r="AF142" s="314"/>
      <c r="AG142" s="314"/>
      <c r="AI142" s="69" t="b">
        <f t="shared" si="10"/>
        <v>0</v>
      </c>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row>
    <row r="143" spans="1:67" s="73" customFormat="1" ht="15" customHeight="1">
      <c r="A143" s="1425" t="s">
        <v>51</v>
      </c>
      <c r="B143" s="1425"/>
      <c r="C143" s="1425"/>
      <c r="D143" s="1425"/>
      <c r="E143" s="1425"/>
      <c r="F143" s="1427" t="s">
        <v>1602</v>
      </c>
      <c r="G143" s="1427"/>
      <c r="H143" s="1427"/>
      <c r="I143" s="1427"/>
      <c r="J143" s="1427"/>
      <c r="K143" s="1427"/>
      <c r="L143" s="1427"/>
      <c r="M143" s="1427"/>
      <c r="N143" s="1427"/>
      <c r="O143" s="1427"/>
      <c r="P143" s="1427"/>
      <c r="Q143" s="1427"/>
      <c r="R143" s="1427"/>
      <c r="S143" s="1427"/>
      <c r="T143" s="1427"/>
      <c r="U143" s="1427"/>
      <c r="V143" s="1427"/>
      <c r="W143" s="1427"/>
      <c r="X143" s="1427"/>
      <c r="Y143" s="1427"/>
      <c r="Z143" s="1427"/>
      <c r="AA143" s="1427"/>
      <c r="AB143" s="1427"/>
      <c r="AC143" s="1427"/>
      <c r="AD143" s="1427"/>
      <c r="AE143" s="314"/>
      <c r="AF143" s="314"/>
      <c r="AG143" s="314"/>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row>
    <row r="144" spans="1:67" s="73" customFormat="1" ht="45" customHeight="1">
      <c r="A144" s="1426"/>
      <c r="B144" s="1426"/>
      <c r="C144" s="1426"/>
      <c r="D144" s="1426"/>
      <c r="E144" s="1426"/>
      <c r="F144" s="1428" t="s">
        <v>1603</v>
      </c>
      <c r="G144" s="1428"/>
      <c r="H144" s="1428"/>
      <c r="I144" s="1428"/>
      <c r="J144" s="1428"/>
      <c r="K144" s="1428"/>
      <c r="L144" s="1428"/>
      <c r="M144" s="1428"/>
      <c r="N144" s="1428"/>
      <c r="O144" s="1428"/>
      <c r="P144" s="1428"/>
      <c r="Q144" s="1428"/>
      <c r="R144" s="1428"/>
      <c r="S144" s="1428"/>
      <c r="T144" s="1428"/>
      <c r="U144" s="1428"/>
      <c r="V144" s="1428"/>
      <c r="W144" s="1428"/>
      <c r="X144" s="1428"/>
      <c r="Y144" s="1428"/>
      <c r="Z144" s="1428"/>
      <c r="AA144" s="1428"/>
      <c r="AB144" s="1428"/>
      <c r="AC144" s="1428"/>
      <c r="AD144" s="1428"/>
      <c r="AE144" s="314"/>
      <c r="AF144" s="314"/>
      <c r="AG144" s="314"/>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row>
    <row r="145" spans="1:67" s="73" customFormat="1" ht="15" customHeight="1">
      <c r="A145" s="1429" t="s">
        <v>1604</v>
      </c>
      <c r="B145" s="1429"/>
      <c r="C145" s="1429"/>
      <c r="D145" s="1429"/>
      <c r="E145" s="1429"/>
      <c r="F145" s="1429"/>
      <c r="G145" s="1429"/>
      <c r="H145" s="1429"/>
      <c r="I145" s="1429"/>
      <c r="J145" s="1429"/>
      <c r="K145" s="1429"/>
      <c r="L145" s="1429"/>
      <c r="M145" s="1429"/>
      <c r="N145" s="1429"/>
      <c r="O145" s="1429"/>
      <c r="P145" s="1429"/>
      <c r="Q145" s="1429"/>
      <c r="R145" s="1429"/>
      <c r="S145" s="1429"/>
      <c r="T145" s="1429"/>
      <c r="U145" s="1429"/>
      <c r="V145" s="1429"/>
      <c r="W145" s="1429"/>
      <c r="X145" s="1429"/>
      <c r="Y145" s="1429"/>
      <c r="Z145" s="1429"/>
      <c r="AA145" s="1429"/>
      <c r="AB145" s="1429"/>
      <c r="AC145" s="1429"/>
      <c r="AD145" s="1429"/>
      <c r="AE145" s="1429"/>
      <c r="AF145" s="1429"/>
      <c r="AG145" s="1429"/>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row>
    <row r="146" spans="1:67" s="73" customFormat="1" ht="15" customHeight="1">
      <c r="A146" s="1429" t="s">
        <v>1605</v>
      </c>
      <c r="B146" s="1429"/>
      <c r="C146" s="1429"/>
      <c r="D146" s="1429"/>
      <c r="E146" s="1429"/>
      <c r="F146" s="1429"/>
      <c r="G146" s="1429"/>
      <c r="H146" s="1429"/>
      <c r="I146" s="1429"/>
      <c r="J146" s="1429"/>
      <c r="K146" s="1429"/>
      <c r="L146" s="1429"/>
      <c r="M146" s="1429"/>
      <c r="N146" s="1429"/>
      <c r="O146" s="1429"/>
      <c r="P146" s="1429"/>
      <c r="Q146" s="1429"/>
      <c r="R146" s="1429"/>
      <c r="S146" s="1429"/>
      <c r="T146" s="1429"/>
      <c r="U146" s="1429"/>
      <c r="V146" s="1429"/>
      <c r="W146" s="1429"/>
      <c r="X146" s="1429"/>
      <c r="Y146" s="1429"/>
      <c r="Z146" s="1429"/>
      <c r="AA146" s="1429"/>
      <c r="AB146" s="1429"/>
      <c r="AC146" s="1429"/>
      <c r="AD146" s="1429"/>
      <c r="AE146" s="1429"/>
      <c r="AF146" s="1429"/>
      <c r="AG146" s="1429"/>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row>
    <row r="147" spans="1:67" s="73" customFormat="1" ht="56.45" customHeight="1">
      <c r="A147" s="1429" t="s">
        <v>1606</v>
      </c>
      <c r="B147" s="1429"/>
      <c r="C147" s="1429"/>
      <c r="D147" s="1429"/>
      <c r="E147" s="1429"/>
      <c r="F147" s="1429"/>
      <c r="G147" s="1429"/>
      <c r="H147" s="1429"/>
      <c r="I147" s="1429"/>
      <c r="J147" s="1429"/>
      <c r="K147" s="1429"/>
      <c r="L147" s="1429"/>
      <c r="M147" s="1429"/>
      <c r="N147" s="1429"/>
      <c r="O147" s="1429"/>
      <c r="P147" s="1429"/>
      <c r="Q147" s="1429"/>
      <c r="R147" s="1429"/>
      <c r="S147" s="1429"/>
      <c r="T147" s="1429"/>
      <c r="U147" s="1429"/>
      <c r="V147" s="1429"/>
      <c r="W147" s="1429"/>
      <c r="X147" s="1429"/>
      <c r="Y147" s="1429"/>
      <c r="Z147" s="1429"/>
      <c r="AA147" s="1429"/>
      <c r="AB147" s="1429"/>
      <c r="AC147" s="1429"/>
      <c r="AD147" s="1429"/>
      <c r="AE147" s="1429"/>
      <c r="AF147" s="1429"/>
      <c r="AG147" s="1429"/>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row>
    <row r="148" spans="1:67" s="73" customFormat="1" ht="15" customHeight="1">
      <c r="A148" s="1313"/>
      <c r="B148" s="1313"/>
      <c r="C148" s="1313"/>
      <c r="D148" s="1313"/>
      <c r="E148" s="1313"/>
      <c r="F148" s="1314"/>
      <c r="G148" s="1314"/>
      <c r="H148" s="1314"/>
      <c r="I148" s="1314"/>
      <c r="J148" s="1314"/>
      <c r="K148" s="1314"/>
      <c r="L148" s="1314"/>
      <c r="M148" s="1314"/>
      <c r="N148" s="1314"/>
      <c r="O148" s="1314"/>
      <c r="P148" s="1314"/>
      <c r="Q148" s="1314"/>
      <c r="R148" s="1314"/>
      <c r="S148" s="1314"/>
      <c r="T148" s="1314"/>
      <c r="U148" s="1314"/>
      <c r="V148" s="1314"/>
      <c r="W148" s="1314"/>
      <c r="X148" s="1314"/>
      <c r="Y148" s="1314"/>
      <c r="Z148" s="1314"/>
      <c r="AA148" s="1314"/>
      <c r="AB148" s="1314"/>
      <c r="AC148" s="1314"/>
      <c r="AD148" s="1314"/>
      <c r="AE148" s="314"/>
      <c r="AF148" s="314"/>
      <c r="AG148" s="314"/>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row>
    <row r="149" spans="1:67" s="73" customFormat="1" ht="15" customHeight="1" thickBot="1">
      <c r="A149" s="664"/>
      <c r="B149" s="664"/>
      <c r="C149" s="664"/>
      <c r="D149" s="664"/>
      <c r="E149" s="664"/>
      <c r="F149" s="664"/>
      <c r="G149" s="664"/>
      <c r="H149" s="664"/>
      <c r="I149" s="664"/>
      <c r="J149" s="664"/>
      <c r="K149" s="664"/>
      <c r="L149" s="664"/>
      <c r="M149" s="664"/>
      <c r="N149" s="664"/>
      <c r="O149" s="664"/>
      <c r="P149" s="664"/>
      <c r="Q149" s="664"/>
      <c r="R149" s="664"/>
      <c r="S149" s="664"/>
      <c r="T149" s="664"/>
      <c r="U149" s="664"/>
      <c r="V149" s="664"/>
      <c r="W149" s="664"/>
      <c r="X149" s="664"/>
      <c r="Y149" s="664"/>
      <c r="Z149" s="664"/>
      <c r="AA149" s="664"/>
      <c r="AB149" s="664"/>
      <c r="AC149" s="664"/>
      <c r="AD149" s="664"/>
      <c r="AE149" s="664"/>
      <c r="AF149" s="664"/>
      <c r="AG149" s="664"/>
      <c r="AH149" s="664"/>
    </row>
    <row r="150" spans="1:67" ht="15" customHeight="1" thickBot="1">
      <c r="A150" s="1533" t="s">
        <v>1609</v>
      </c>
      <c r="B150" s="1533"/>
      <c r="C150" s="1533"/>
      <c r="D150" s="1533"/>
      <c r="E150" s="1533"/>
      <c r="F150" s="1533"/>
      <c r="G150" s="1533"/>
      <c r="H150" s="1533"/>
      <c r="I150" s="1533"/>
      <c r="J150" s="1496" t="str">
        <f>IF(AND(AI151,AI153),"○","×")</f>
        <v>×</v>
      </c>
      <c r="K150" s="1497"/>
      <c r="L150" s="1497"/>
      <c r="M150" s="1497"/>
      <c r="N150" s="1498"/>
      <c r="O150" s="1538" t="s">
        <v>268</v>
      </c>
      <c r="P150" s="1539"/>
      <c r="Q150" s="1539"/>
      <c r="R150" s="314"/>
      <c r="S150" s="314"/>
      <c r="T150" s="314"/>
      <c r="U150" s="314"/>
      <c r="V150" s="314"/>
      <c r="W150" s="314"/>
      <c r="X150" s="314"/>
      <c r="Y150" s="314"/>
      <c r="Z150" s="314"/>
      <c r="AA150" s="314"/>
      <c r="AB150" s="314"/>
      <c r="AC150" s="314"/>
      <c r="AD150" s="314"/>
      <c r="AE150" s="314"/>
      <c r="AF150" s="314"/>
      <c r="AG150" s="314"/>
    </row>
    <row r="151" spans="1:67" ht="15" customHeight="1">
      <c r="A151" s="1466" t="s">
        <v>121</v>
      </c>
      <c r="B151" s="1466"/>
      <c r="C151" s="1466"/>
      <c r="D151" s="1466"/>
      <c r="E151" s="1466"/>
      <c r="F151" s="1635"/>
      <c r="G151" s="1635"/>
      <c r="H151" s="1635"/>
      <c r="I151" s="1635"/>
      <c r="J151" s="1636"/>
      <c r="K151" s="1636"/>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I151" s="134" t="b">
        <f>F151="申請する"</f>
        <v>0</v>
      </c>
    </row>
    <row r="152" spans="1:67" ht="15" customHeight="1">
      <c r="A152" s="1567" t="s">
        <v>147</v>
      </c>
      <c r="B152" s="1567"/>
      <c r="C152" s="1567"/>
      <c r="D152" s="1567"/>
      <c r="E152" s="1530"/>
      <c r="F152" s="1528" t="s">
        <v>103</v>
      </c>
      <c r="G152" s="1466"/>
      <c r="H152" s="1466"/>
      <c r="I152" s="1466"/>
      <c r="J152" s="1466"/>
      <c r="K152" s="1466"/>
      <c r="L152" s="1466"/>
      <c r="M152" s="1466"/>
      <c r="N152" s="1466"/>
      <c r="O152" s="1466"/>
      <c r="P152" s="1466"/>
      <c r="Q152" s="1466"/>
      <c r="R152" s="1466"/>
      <c r="S152" s="1466"/>
      <c r="T152" s="1466"/>
      <c r="U152" s="1466"/>
      <c r="V152" s="1466"/>
      <c r="W152" s="1466"/>
      <c r="X152" s="1466"/>
      <c r="Y152" s="1466"/>
      <c r="Z152" s="1466"/>
      <c r="AA152" s="1466" t="s">
        <v>269</v>
      </c>
      <c r="AB152" s="1466"/>
      <c r="AC152" s="1466"/>
      <c r="AD152" s="1466"/>
      <c r="AE152" s="664"/>
      <c r="AF152" s="664"/>
      <c r="AG152" s="664"/>
      <c r="AH152" s="73"/>
      <c r="AI152" s="77"/>
    </row>
    <row r="153" spans="1:67" ht="15" customHeight="1">
      <c r="A153" s="1567"/>
      <c r="B153" s="1567"/>
      <c r="C153" s="1567"/>
      <c r="D153" s="1567"/>
      <c r="E153" s="1567"/>
      <c r="F153" s="1485" t="s">
        <v>471</v>
      </c>
      <c r="G153" s="1485"/>
      <c r="H153" s="1485"/>
      <c r="I153" s="1485"/>
      <c r="J153" s="1485"/>
      <c r="K153" s="1485"/>
      <c r="L153" s="1485"/>
      <c r="M153" s="1485"/>
      <c r="N153" s="1485"/>
      <c r="O153" s="1485"/>
      <c r="P153" s="1485"/>
      <c r="Q153" s="1485"/>
      <c r="R153" s="1485"/>
      <c r="S153" s="1485"/>
      <c r="T153" s="1485"/>
      <c r="U153" s="1485"/>
      <c r="V153" s="1485"/>
      <c r="W153" s="1485"/>
      <c r="X153" s="1485"/>
      <c r="Y153" s="1485"/>
      <c r="Z153" s="1485"/>
      <c r="AA153" s="1567" t="str">
        <f>【様式５】職員数算出表!O58</f>
        <v>-</v>
      </c>
      <c r="AB153" s="1567"/>
      <c r="AC153" s="1567"/>
      <c r="AD153" s="1567"/>
      <c r="AE153" s="664"/>
      <c r="AF153" s="664"/>
      <c r="AG153" s="664"/>
      <c r="AH153" s="73"/>
      <c r="AI153" s="134" t="b">
        <f>AA153="○"</f>
        <v>0</v>
      </c>
    </row>
    <row r="154" spans="1:67" ht="15" customHeight="1">
      <c r="A154" s="1530" t="s">
        <v>51</v>
      </c>
      <c r="B154" s="1531"/>
      <c r="C154" s="1531"/>
      <c r="D154" s="1531"/>
      <c r="E154" s="1532"/>
      <c r="F154" s="1782" t="s">
        <v>473</v>
      </c>
      <c r="G154" s="1782"/>
      <c r="H154" s="1782"/>
      <c r="I154" s="1782"/>
      <c r="J154" s="1782"/>
      <c r="K154" s="1782"/>
      <c r="L154" s="1782"/>
      <c r="M154" s="1782"/>
      <c r="N154" s="1782"/>
      <c r="O154" s="1782"/>
      <c r="P154" s="1782"/>
      <c r="Q154" s="1782"/>
      <c r="R154" s="1782"/>
      <c r="S154" s="1782"/>
      <c r="T154" s="1782"/>
      <c r="U154" s="1782"/>
      <c r="V154" s="1782"/>
      <c r="W154" s="1782"/>
      <c r="X154" s="1782"/>
      <c r="Y154" s="1782"/>
      <c r="Z154" s="1782"/>
      <c r="AA154" s="1782"/>
      <c r="AB154" s="1782"/>
      <c r="AC154" s="1782"/>
      <c r="AD154" s="1783"/>
      <c r="AE154" s="664"/>
      <c r="AF154" s="664"/>
      <c r="AG154" s="664"/>
      <c r="AH154" s="73"/>
      <c r="AI154" s="77"/>
    </row>
    <row r="155" spans="1:67" s="73" customFormat="1" ht="15" customHeight="1" thickBot="1">
      <c r="A155" s="664"/>
      <c r="B155" s="664"/>
      <c r="C155" s="664"/>
      <c r="D155" s="664"/>
      <c r="E155" s="664"/>
      <c r="F155" s="664"/>
      <c r="G155" s="664"/>
      <c r="H155" s="664"/>
      <c r="I155" s="664"/>
      <c r="J155" s="664"/>
      <c r="K155" s="664"/>
      <c r="L155" s="664"/>
      <c r="M155" s="664"/>
      <c r="N155" s="664"/>
      <c r="O155" s="664"/>
      <c r="P155" s="664"/>
      <c r="Q155" s="664"/>
      <c r="R155" s="664"/>
      <c r="S155" s="664"/>
      <c r="T155" s="664"/>
      <c r="U155" s="664"/>
      <c r="V155" s="664"/>
      <c r="W155" s="664"/>
      <c r="X155" s="664"/>
      <c r="Y155" s="664"/>
      <c r="Z155" s="664"/>
      <c r="AA155" s="664"/>
      <c r="AB155" s="664"/>
      <c r="AC155" s="664"/>
      <c r="AD155" s="664"/>
      <c r="AE155" s="664"/>
      <c r="AF155" s="664"/>
      <c r="AG155" s="664"/>
    </row>
    <row r="156" spans="1:67" ht="15" customHeight="1" thickBot="1">
      <c r="A156" s="1833" t="s">
        <v>1610</v>
      </c>
      <c r="B156" s="1833"/>
      <c r="C156" s="1833"/>
      <c r="D156" s="1833"/>
      <c r="E156" s="1833"/>
      <c r="F156" s="1833"/>
      <c r="G156" s="1833"/>
      <c r="H156" s="1833"/>
      <c r="I156" s="1833"/>
      <c r="J156" s="1496" t="str">
        <f>IFERROR(IF(AND(AI157,AI159,AI161,AI162,AI163),"○","×"),"エラー")</f>
        <v>×</v>
      </c>
      <c r="K156" s="1497"/>
      <c r="L156" s="1497"/>
      <c r="M156" s="1497"/>
      <c r="N156" s="1498"/>
      <c r="O156" s="1538" t="s">
        <v>268</v>
      </c>
      <c r="P156" s="1539"/>
      <c r="Q156" s="1539"/>
      <c r="R156" s="210"/>
      <c r="S156" s="210"/>
      <c r="T156" s="210"/>
      <c r="U156" s="210"/>
      <c r="V156" s="210"/>
      <c r="W156" s="210"/>
      <c r="X156" s="210"/>
      <c r="Y156" s="210"/>
      <c r="Z156" s="210"/>
      <c r="AA156" s="210"/>
      <c r="AB156" s="210"/>
      <c r="AC156" s="210"/>
      <c r="AD156" s="210"/>
      <c r="AE156" s="314"/>
      <c r="AF156" s="314"/>
      <c r="AG156" s="314"/>
    </row>
    <row r="157" spans="1:67" s="73" customFormat="1" ht="15" customHeight="1">
      <c r="A157" s="1466" t="s">
        <v>121</v>
      </c>
      <c r="B157" s="1466"/>
      <c r="C157" s="1466"/>
      <c r="D157" s="1466"/>
      <c r="E157" s="1466"/>
      <c r="F157" s="1635"/>
      <c r="G157" s="1635"/>
      <c r="H157" s="1635"/>
      <c r="I157" s="1635"/>
      <c r="J157" s="1636"/>
      <c r="K157" s="1636"/>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65"/>
      <c r="AI157" s="134" t="b">
        <f>F157="申請する"</f>
        <v>0</v>
      </c>
    </row>
    <row r="158" spans="1:67" s="73" customFormat="1" ht="15" customHeight="1">
      <c r="A158" s="1765" t="s">
        <v>359</v>
      </c>
      <c r="B158" s="1682"/>
      <c r="C158" s="1682"/>
      <c r="D158" s="1682"/>
      <c r="E158" s="1682"/>
      <c r="F158" s="1528" t="s">
        <v>103</v>
      </c>
      <c r="G158" s="1466"/>
      <c r="H158" s="1466"/>
      <c r="I158" s="1466"/>
      <c r="J158" s="1466"/>
      <c r="K158" s="1466"/>
      <c r="L158" s="1466"/>
      <c r="M158" s="1466"/>
      <c r="N158" s="1466"/>
      <c r="O158" s="1466"/>
      <c r="P158" s="1466"/>
      <c r="Q158" s="1466"/>
      <c r="R158" s="1466"/>
      <c r="S158" s="1466"/>
      <c r="T158" s="1466"/>
      <c r="U158" s="1466"/>
      <c r="V158" s="1466"/>
      <c r="W158" s="1466"/>
      <c r="X158" s="1466"/>
      <c r="Y158" s="1466"/>
      <c r="Z158" s="1466"/>
      <c r="AA158" s="1466" t="s">
        <v>269</v>
      </c>
      <c r="AB158" s="1466"/>
      <c r="AC158" s="1466"/>
      <c r="AD158" s="1466"/>
      <c r="AE158" s="664"/>
      <c r="AF158" s="664"/>
      <c r="AG158" s="664"/>
      <c r="AI158" s="77"/>
    </row>
    <row r="159" spans="1:67" s="73" customFormat="1" ht="15" customHeight="1">
      <c r="A159" s="1614"/>
      <c r="B159" s="1603"/>
      <c r="C159" s="1603"/>
      <c r="D159" s="1603"/>
      <c r="E159" s="1766"/>
      <c r="F159" s="936">
        <v>1</v>
      </c>
      <c r="G159" s="1754" t="s">
        <v>556</v>
      </c>
      <c r="H159" s="1754"/>
      <c r="I159" s="1754"/>
      <c r="J159" s="1754"/>
      <c r="K159" s="1754"/>
      <c r="L159" s="1754"/>
      <c r="M159" s="1754"/>
      <c r="N159" s="1754"/>
      <c r="O159" s="1754"/>
      <c r="P159" s="1754"/>
      <c r="Q159" s="1754"/>
      <c r="R159" s="1754"/>
      <c r="S159" s="1754"/>
      <c r="T159" s="1754"/>
      <c r="U159" s="1754"/>
      <c r="V159" s="1754"/>
      <c r="W159" s="1754"/>
      <c r="X159" s="1754"/>
      <c r="Y159" s="1754"/>
      <c r="Z159" s="1755"/>
      <c r="AA159" s="1665" t="str">
        <f>IF(OR(M160&lt;=35,M160&gt;=121),"○","×")</f>
        <v>○</v>
      </c>
      <c r="AB159" s="1756"/>
      <c r="AC159" s="1756"/>
      <c r="AD159" s="1629"/>
      <c r="AE159" s="664"/>
      <c r="AF159" s="664"/>
      <c r="AG159" s="664"/>
      <c r="AI159" s="2039" t="b">
        <f>AA159="○"</f>
        <v>1</v>
      </c>
    </row>
    <row r="160" spans="1:67" s="73" customFormat="1" ht="15" customHeight="1">
      <c r="A160" s="1614"/>
      <c r="B160" s="1603"/>
      <c r="C160" s="1603"/>
      <c r="D160" s="1603"/>
      <c r="E160" s="1766"/>
      <c r="F160" s="1784" t="s">
        <v>286</v>
      </c>
      <c r="G160" s="1785"/>
      <c r="H160" s="1785"/>
      <c r="I160" s="1785"/>
      <c r="J160" s="1785"/>
      <c r="K160" s="1785"/>
      <c r="L160" s="1786"/>
      <c r="M160" s="1851">
        <f>SUM(H14)</f>
        <v>0</v>
      </c>
      <c r="N160" s="1852"/>
      <c r="O160" s="1852"/>
      <c r="P160" s="1852"/>
      <c r="Q160" s="1852"/>
      <c r="R160" s="1852"/>
      <c r="S160" s="1852"/>
      <c r="T160" s="1852"/>
      <c r="U160" s="1852"/>
      <c r="V160" s="1852"/>
      <c r="W160" s="1852"/>
      <c r="X160" s="1852"/>
      <c r="Y160" s="1852"/>
      <c r="Z160" s="1853"/>
      <c r="AA160" s="1411"/>
      <c r="AB160" s="1412"/>
      <c r="AC160" s="1412"/>
      <c r="AD160" s="1439"/>
      <c r="AE160" s="664"/>
      <c r="AF160" s="664"/>
      <c r="AG160" s="664"/>
      <c r="AI160" s="2039"/>
    </row>
    <row r="161" spans="1:36" s="73" customFormat="1" ht="15" customHeight="1">
      <c r="A161" s="1614"/>
      <c r="B161" s="1603"/>
      <c r="C161" s="1603"/>
      <c r="D161" s="1603"/>
      <c r="E161" s="1766"/>
      <c r="F161" s="936">
        <v>2</v>
      </c>
      <c r="G161" s="1606" t="s">
        <v>1041</v>
      </c>
      <c r="H161" s="1606"/>
      <c r="I161" s="1606"/>
      <c r="J161" s="1606"/>
      <c r="K161" s="1606"/>
      <c r="L161" s="1606"/>
      <c r="M161" s="1606"/>
      <c r="N161" s="1606"/>
      <c r="O161" s="1606"/>
      <c r="P161" s="1606"/>
      <c r="Q161" s="1606"/>
      <c r="R161" s="1606"/>
      <c r="S161" s="1606"/>
      <c r="T161" s="1606"/>
      <c r="U161" s="1606"/>
      <c r="V161" s="1606"/>
      <c r="W161" s="1606"/>
      <c r="X161" s="1606"/>
      <c r="Y161" s="1606"/>
      <c r="Z161" s="1686"/>
      <c r="AA161" s="1681" t="str">
        <f>【様式５】職員数算出表!O59</f>
        <v>-</v>
      </c>
      <c r="AB161" s="1682"/>
      <c r="AC161" s="1682"/>
      <c r="AD161" s="1683"/>
      <c r="AE161" s="664"/>
      <c r="AF161" s="664"/>
      <c r="AG161" s="664"/>
      <c r="AI161" s="134" t="b">
        <f>AA161="○"</f>
        <v>0</v>
      </c>
    </row>
    <row r="162" spans="1:36" s="73" customFormat="1" ht="15" customHeight="1">
      <c r="A162" s="1614"/>
      <c r="B162" s="1603"/>
      <c r="C162" s="1603"/>
      <c r="D162" s="1603"/>
      <c r="E162" s="1766"/>
      <c r="F162" s="940">
        <v>3</v>
      </c>
      <c r="G162" s="1915" t="s">
        <v>555</v>
      </c>
      <c r="H162" s="1915"/>
      <c r="I162" s="1915"/>
      <c r="J162" s="1915"/>
      <c r="K162" s="1915"/>
      <c r="L162" s="1915"/>
      <c r="M162" s="1915"/>
      <c r="N162" s="1915"/>
      <c r="O162" s="1915"/>
      <c r="P162" s="1915"/>
      <c r="Q162" s="1915"/>
      <c r="R162" s="1915"/>
      <c r="S162" s="1915"/>
      <c r="T162" s="1915"/>
      <c r="U162" s="1915"/>
      <c r="V162" s="1915"/>
      <c r="W162" s="1915"/>
      <c r="X162" s="1915"/>
      <c r="Y162" s="1915"/>
      <c r="Z162" s="2034"/>
      <c r="AA162" s="1509"/>
      <c r="AB162" s="1510"/>
      <c r="AC162" s="1510"/>
      <c r="AD162" s="1511"/>
      <c r="AE162" s="664"/>
      <c r="AF162" s="664"/>
      <c r="AG162" s="664"/>
      <c r="AI162" s="134" t="b">
        <f>AA162="○"</f>
        <v>0</v>
      </c>
    </row>
    <row r="163" spans="1:36" s="73" customFormat="1" ht="15" customHeight="1">
      <c r="A163" s="1218"/>
      <c r="B163" s="182"/>
      <c r="C163" s="182"/>
      <c r="D163" s="182"/>
      <c r="E163" s="1219"/>
      <c r="F163" s="1223" t="s">
        <v>1468</v>
      </c>
      <c r="G163" s="1915" t="s">
        <v>1469</v>
      </c>
      <c r="H163" s="1915"/>
      <c r="I163" s="1915"/>
      <c r="J163" s="1915"/>
      <c r="K163" s="1915"/>
      <c r="L163" s="1915"/>
      <c r="M163" s="1915"/>
      <c r="N163" s="1915"/>
      <c r="O163" s="1915"/>
      <c r="P163" s="1915"/>
      <c r="Q163" s="1915"/>
      <c r="R163" s="1915"/>
      <c r="S163" s="1915"/>
      <c r="T163" s="1915"/>
      <c r="U163" s="1915"/>
      <c r="V163" s="1915"/>
      <c r="W163" s="1915"/>
      <c r="X163" s="1915"/>
      <c r="Y163" s="1915"/>
      <c r="Z163" s="2034"/>
      <c r="AA163" s="1509"/>
      <c r="AB163" s="1510"/>
      <c r="AC163" s="1510"/>
      <c r="AD163" s="1511"/>
      <c r="AE163" s="664"/>
      <c r="AF163" s="664"/>
      <c r="AG163" s="664"/>
      <c r="AI163" s="134" t="b">
        <f>AA163="○"</f>
        <v>0</v>
      </c>
    </row>
    <row r="164" spans="1:36" s="73" customFormat="1" ht="15" customHeight="1">
      <c r="A164" s="1567" t="s">
        <v>51</v>
      </c>
      <c r="B164" s="1567"/>
      <c r="C164" s="1567"/>
      <c r="D164" s="1567"/>
      <c r="E164" s="1567"/>
      <c r="F164" s="1924" t="s">
        <v>1361</v>
      </c>
      <c r="G164" s="1685"/>
      <c r="H164" s="1685"/>
      <c r="I164" s="1685"/>
      <c r="J164" s="1685"/>
      <c r="K164" s="1685"/>
      <c r="L164" s="1685"/>
      <c r="M164" s="1685"/>
      <c r="N164" s="1685"/>
      <c r="O164" s="1685"/>
      <c r="P164" s="1685"/>
      <c r="Q164" s="1685"/>
      <c r="R164" s="1685"/>
      <c r="S164" s="1685"/>
      <c r="T164" s="1685"/>
      <c r="U164" s="1685"/>
      <c r="V164" s="1685"/>
      <c r="W164" s="1685"/>
      <c r="X164" s="1685"/>
      <c r="Y164" s="1685"/>
      <c r="Z164" s="1685"/>
      <c r="AA164" s="1685"/>
      <c r="AB164" s="1685"/>
      <c r="AC164" s="1685"/>
      <c r="AD164" s="1686"/>
      <c r="AE164" s="664"/>
      <c r="AF164" s="664"/>
      <c r="AG164" s="664"/>
      <c r="AI164" s="77"/>
    </row>
    <row r="165" spans="1:36" s="73" customFormat="1" ht="15" customHeight="1">
      <c r="A165" s="1567"/>
      <c r="B165" s="1567"/>
      <c r="C165" s="1567"/>
      <c r="D165" s="1567"/>
      <c r="E165" s="1567"/>
      <c r="F165" s="2043" t="s">
        <v>289</v>
      </c>
      <c r="G165" s="1718"/>
      <c r="H165" s="1718"/>
      <c r="I165" s="1718"/>
      <c r="J165" s="1718"/>
      <c r="K165" s="1718"/>
      <c r="L165" s="1718"/>
      <c r="M165" s="1718"/>
      <c r="N165" s="1718"/>
      <c r="O165" s="1718"/>
      <c r="P165" s="1718"/>
      <c r="Q165" s="1718"/>
      <c r="R165" s="1718"/>
      <c r="S165" s="1718"/>
      <c r="T165" s="1718"/>
      <c r="U165" s="1718"/>
      <c r="V165" s="1718"/>
      <c r="W165" s="1718"/>
      <c r="X165" s="1718"/>
      <c r="Y165" s="1718"/>
      <c r="Z165" s="1718"/>
      <c r="AA165" s="1718"/>
      <c r="AB165" s="1718"/>
      <c r="AC165" s="1718"/>
      <c r="AD165" s="2044"/>
      <c r="AE165" s="664"/>
      <c r="AF165" s="664"/>
      <c r="AG165" s="664"/>
      <c r="AI165" s="77"/>
    </row>
    <row r="166" spans="1:36" s="73" customFormat="1" ht="15" customHeight="1">
      <c r="A166" s="1567"/>
      <c r="B166" s="1567"/>
      <c r="C166" s="1567"/>
      <c r="D166" s="1567"/>
      <c r="E166" s="1567"/>
      <c r="F166" s="1925" t="s">
        <v>1467</v>
      </c>
      <c r="G166" s="1926"/>
      <c r="H166" s="1926"/>
      <c r="I166" s="1926"/>
      <c r="J166" s="1926"/>
      <c r="K166" s="1926"/>
      <c r="L166" s="1926"/>
      <c r="M166" s="1926"/>
      <c r="N166" s="1926"/>
      <c r="O166" s="1926"/>
      <c r="P166" s="1926"/>
      <c r="Q166" s="1926"/>
      <c r="R166" s="1926"/>
      <c r="S166" s="1926"/>
      <c r="T166" s="1926"/>
      <c r="U166" s="1926"/>
      <c r="V166" s="1926"/>
      <c r="W166" s="1926"/>
      <c r="X166" s="1926"/>
      <c r="Y166" s="1926"/>
      <c r="Z166" s="1926"/>
      <c r="AA166" s="1926"/>
      <c r="AB166" s="1926"/>
      <c r="AC166" s="1926"/>
      <c r="AD166" s="1927"/>
      <c r="AE166" s="664"/>
      <c r="AF166" s="664"/>
      <c r="AG166" s="664"/>
      <c r="AI166" s="77"/>
    </row>
    <row r="167" spans="1:36" s="73" customFormat="1" ht="15" customHeight="1">
      <c r="A167" s="144"/>
      <c r="B167" s="664"/>
      <c r="C167" s="664"/>
      <c r="D167" s="664"/>
      <c r="E167" s="664"/>
      <c r="F167" s="664"/>
      <c r="G167" s="664"/>
      <c r="H167" s="664"/>
      <c r="I167" s="664"/>
      <c r="J167" s="664"/>
      <c r="K167" s="664"/>
      <c r="L167" s="664"/>
      <c r="M167" s="664"/>
      <c r="N167" s="664"/>
      <c r="O167" s="664"/>
      <c r="P167" s="664"/>
      <c r="Q167" s="664"/>
      <c r="R167" s="664"/>
      <c r="S167" s="664"/>
      <c r="T167" s="664"/>
      <c r="U167" s="664"/>
      <c r="V167" s="664"/>
      <c r="W167" s="664"/>
      <c r="X167" s="664"/>
      <c r="Y167" s="664"/>
      <c r="Z167" s="664"/>
      <c r="AA167" s="664"/>
      <c r="AB167" s="664"/>
      <c r="AC167" s="664"/>
      <c r="AD167" s="664"/>
      <c r="AE167" s="664"/>
      <c r="AF167" s="664"/>
      <c r="AG167" s="664"/>
      <c r="AI167" s="77"/>
    </row>
    <row r="168" spans="1:36" s="73" customFormat="1" ht="15" customHeight="1" thickBot="1">
      <c r="A168" s="676"/>
      <c r="B168" s="676"/>
      <c r="C168" s="676"/>
      <c r="D168" s="676"/>
      <c r="E168" s="676"/>
      <c r="F168" s="677"/>
      <c r="G168" s="677"/>
      <c r="H168" s="677"/>
      <c r="I168" s="677"/>
      <c r="J168" s="677"/>
      <c r="K168" s="677"/>
      <c r="L168" s="677"/>
      <c r="M168" s="677"/>
      <c r="N168" s="677"/>
      <c r="O168" s="677"/>
      <c r="P168" s="677"/>
      <c r="Q168" s="677"/>
      <c r="R168" s="677"/>
      <c r="S168" s="677"/>
      <c r="T168" s="677"/>
      <c r="U168" s="677"/>
      <c r="V168" s="677"/>
      <c r="W168" s="677"/>
      <c r="X168" s="677"/>
      <c r="Y168" s="677"/>
      <c r="Z168" s="677"/>
      <c r="AA168" s="677"/>
      <c r="AB168" s="677"/>
      <c r="AC168" s="677"/>
      <c r="AD168" s="677"/>
      <c r="AE168" s="664"/>
      <c r="AF168" s="664"/>
      <c r="AG168" s="664"/>
      <c r="AI168" s="77"/>
    </row>
    <row r="169" spans="1:36" ht="15" customHeight="1" thickBot="1">
      <c r="A169" s="1533" t="s">
        <v>1611</v>
      </c>
      <c r="B169" s="1533"/>
      <c r="C169" s="1533"/>
      <c r="D169" s="1533"/>
      <c r="E169" s="1533"/>
      <c r="F169" s="1533"/>
      <c r="G169" s="1533"/>
      <c r="H169" s="1533"/>
      <c r="I169" s="1533"/>
      <c r="J169" s="1921" t="str">
        <f>IF(AND(AI170,AI172,AI173),AI174,"×")</f>
        <v>×</v>
      </c>
      <c r="K169" s="1922"/>
      <c r="L169" s="1922"/>
      <c r="M169" s="1922"/>
      <c r="N169" s="1923"/>
      <c r="O169" s="1538" t="s">
        <v>268</v>
      </c>
      <c r="P169" s="1539"/>
      <c r="Q169" s="1539"/>
      <c r="R169" s="314"/>
      <c r="S169" s="314"/>
      <c r="T169" s="314"/>
      <c r="U169" s="314"/>
      <c r="V169" s="314"/>
      <c r="W169" s="314"/>
      <c r="X169" s="314"/>
      <c r="Y169" s="314"/>
      <c r="Z169" s="314"/>
      <c r="AA169" s="314"/>
      <c r="AB169" s="314"/>
      <c r="AC169" s="314"/>
      <c r="AD169" s="314"/>
      <c r="AE169" s="314"/>
      <c r="AF169" s="314"/>
      <c r="AG169" s="314"/>
    </row>
    <row r="170" spans="1:36" ht="15" customHeight="1">
      <c r="A170" s="1466" t="s">
        <v>121</v>
      </c>
      <c r="B170" s="1466"/>
      <c r="C170" s="1466"/>
      <c r="D170" s="1466"/>
      <c r="E170" s="1466"/>
      <c r="F170" s="1635"/>
      <c r="G170" s="1635"/>
      <c r="H170" s="1635"/>
      <c r="I170" s="1635"/>
      <c r="J170" s="1636"/>
      <c r="K170" s="1636"/>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I170" s="134" t="b">
        <f>F170="申請する"</f>
        <v>0</v>
      </c>
    </row>
    <row r="171" spans="1:36" ht="15" customHeight="1">
      <c r="A171" s="1765" t="s">
        <v>285</v>
      </c>
      <c r="B171" s="1682"/>
      <c r="C171" s="1682"/>
      <c r="D171" s="1682"/>
      <c r="E171" s="1682"/>
      <c r="F171" s="1528" t="s">
        <v>103</v>
      </c>
      <c r="G171" s="1466"/>
      <c r="H171" s="1466"/>
      <c r="I171" s="1466"/>
      <c r="J171" s="1466"/>
      <c r="K171" s="1466"/>
      <c r="L171" s="1466"/>
      <c r="M171" s="1466"/>
      <c r="N171" s="1466"/>
      <c r="O171" s="1466"/>
      <c r="P171" s="1466"/>
      <c r="Q171" s="1466"/>
      <c r="R171" s="1466"/>
      <c r="S171" s="1466"/>
      <c r="T171" s="1466"/>
      <c r="U171" s="1466"/>
      <c r="V171" s="1466"/>
      <c r="W171" s="1466"/>
      <c r="X171" s="1466"/>
      <c r="Y171" s="1466"/>
      <c r="Z171" s="1466"/>
      <c r="AA171" s="1466" t="s">
        <v>269</v>
      </c>
      <c r="AB171" s="1466"/>
      <c r="AC171" s="1466"/>
      <c r="AD171" s="1466"/>
      <c r="AE171" s="314"/>
      <c r="AF171" s="314"/>
      <c r="AG171" s="314"/>
      <c r="AI171" s="66"/>
    </row>
    <row r="172" spans="1:36" ht="15" customHeight="1">
      <c r="A172" s="1614"/>
      <c r="B172" s="1603"/>
      <c r="C172" s="1603"/>
      <c r="D172" s="1603"/>
      <c r="E172" s="1766"/>
      <c r="F172" s="678">
        <v>1</v>
      </c>
      <c r="G172" s="1831" t="s">
        <v>625</v>
      </c>
      <c r="H172" s="1831"/>
      <c r="I172" s="1831"/>
      <c r="J172" s="1831"/>
      <c r="K172" s="1831"/>
      <c r="L172" s="1831"/>
      <c r="M172" s="1831"/>
      <c r="N172" s="1831"/>
      <c r="O172" s="1831"/>
      <c r="P172" s="1831"/>
      <c r="Q172" s="1831"/>
      <c r="R172" s="1831"/>
      <c r="S172" s="1831"/>
      <c r="T172" s="1831"/>
      <c r="U172" s="1831"/>
      <c r="V172" s="1831"/>
      <c r="W172" s="1831"/>
      <c r="X172" s="1831"/>
      <c r="Y172" s="1831"/>
      <c r="Z172" s="1928"/>
      <c r="AA172" s="1795" t="str">
        <f>【様式５】職員数算出表!O60</f>
        <v>-</v>
      </c>
      <c r="AB172" s="1704"/>
      <c r="AC172" s="1704"/>
      <c r="AD172" s="1663"/>
      <c r="AE172" s="314"/>
      <c r="AF172" s="314"/>
      <c r="AG172" s="314"/>
      <c r="AI172" s="134" t="b">
        <f>AA172="○"</f>
        <v>0</v>
      </c>
    </row>
    <row r="173" spans="1:36" ht="39.950000000000003" customHeight="1">
      <c r="A173" s="1615"/>
      <c r="B173" s="1580"/>
      <c r="C173" s="1580"/>
      <c r="D173" s="1580"/>
      <c r="E173" s="1656"/>
      <c r="F173" s="678">
        <v>2</v>
      </c>
      <c r="G173" s="1831" t="s">
        <v>476</v>
      </c>
      <c r="H173" s="1831"/>
      <c r="I173" s="1831"/>
      <c r="J173" s="1831"/>
      <c r="K173" s="1831"/>
      <c r="L173" s="1831"/>
      <c r="M173" s="1831"/>
      <c r="N173" s="1831"/>
      <c r="O173" s="1831"/>
      <c r="P173" s="1831"/>
      <c r="Q173" s="1831"/>
      <c r="R173" s="1831"/>
      <c r="S173" s="1831"/>
      <c r="T173" s="1831"/>
      <c r="U173" s="1831"/>
      <c r="V173" s="1831"/>
      <c r="W173" s="1831"/>
      <c r="X173" s="1831"/>
      <c r="Y173" s="1831"/>
      <c r="Z173" s="1832"/>
      <c r="AA173" s="1509"/>
      <c r="AB173" s="1510"/>
      <c r="AC173" s="1510"/>
      <c r="AD173" s="1511"/>
      <c r="AE173" s="314"/>
      <c r="AF173" s="314"/>
      <c r="AG173" s="314"/>
      <c r="AI173" s="134" t="b">
        <f>AA173="○"</f>
        <v>0</v>
      </c>
    </row>
    <row r="174" spans="1:36" ht="15" customHeight="1">
      <c r="A174" s="1530" t="s">
        <v>290</v>
      </c>
      <c r="B174" s="1531"/>
      <c r="C174" s="1531"/>
      <c r="D174" s="1531"/>
      <c r="E174" s="1532"/>
      <c r="F174" s="1834"/>
      <c r="G174" s="1835"/>
      <c r="H174" s="1835"/>
      <c r="I174" s="1835"/>
      <c r="J174" s="1835"/>
      <c r="K174" s="1836"/>
      <c r="L174" s="1530" t="str">
        <f>"←　取得上限値は"&amp;IF(OR(【様式５】職員数算出表!J63&lt;0,ISERROR(【様式５】職員数算出表!J63)),0,【様式５】職員数算出表!J63)&amp;"人です"</f>
        <v>←　取得上限値は0人です</v>
      </c>
      <c r="M174" s="1531"/>
      <c r="N174" s="1531"/>
      <c r="O174" s="1531"/>
      <c r="P174" s="1531"/>
      <c r="Q174" s="1531"/>
      <c r="R174" s="1531"/>
      <c r="S174" s="1531"/>
      <c r="T174" s="1531"/>
      <c r="U174" s="1531"/>
      <c r="V174" s="1531"/>
      <c r="W174" s="1531"/>
      <c r="X174" s="1531"/>
      <c r="Y174" s="1531"/>
      <c r="Z174" s="1531"/>
      <c r="AA174" s="1531"/>
      <c r="AB174" s="1531"/>
      <c r="AC174" s="1531"/>
      <c r="AD174" s="1532"/>
      <c r="AE174" s="314"/>
      <c r="AF174" s="314"/>
      <c r="AG174" s="314"/>
      <c r="AI174" s="134">
        <f>IF(F174&gt;【様式５】職員数算出表!J63,-1,F174)</f>
        <v>0</v>
      </c>
    </row>
    <row r="175" spans="1:36" ht="15" customHeight="1">
      <c r="A175" s="1466" t="s">
        <v>51</v>
      </c>
      <c r="B175" s="1466"/>
      <c r="C175" s="1466"/>
      <c r="D175" s="1466"/>
      <c r="E175" s="1466"/>
      <c r="F175" s="1467" t="s">
        <v>626</v>
      </c>
      <c r="G175" s="1468"/>
      <c r="H175" s="1468"/>
      <c r="I175" s="1468"/>
      <c r="J175" s="1468"/>
      <c r="K175" s="1468"/>
      <c r="L175" s="1468"/>
      <c r="M175" s="1468"/>
      <c r="N175" s="1468"/>
      <c r="O175" s="1468"/>
      <c r="P175" s="1468"/>
      <c r="Q175" s="1468"/>
      <c r="R175" s="1468"/>
      <c r="S175" s="1468"/>
      <c r="T175" s="1468"/>
      <c r="U175" s="1468"/>
      <c r="V175" s="1468"/>
      <c r="W175" s="1468"/>
      <c r="X175" s="1468"/>
      <c r="Y175" s="1468"/>
      <c r="Z175" s="1468"/>
      <c r="AA175" s="1468"/>
      <c r="AB175" s="1468"/>
      <c r="AC175" s="1468"/>
      <c r="AD175" s="1568"/>
      <c r="AE175" s="314"/>
      <c r="AF175" s="314"/>
      <c r="AG175" s="314"/>
      <c r="AI175" s="66"/>
    </row>
    <row r="176" spans="1:36" ht="15" customHeight="1" thickBot="1">
      <c r="A176" s="664"/>
      <c r="B176" s="664"/>
      <c r="C176" s="664"/>
      <c r="D176" s="664"/>
      <c r="E176" s="664"/>
      <c r="F176" s="664"/>
      <c r="G176" s="664"/>
      <c r="H176" s="664"/>
      <c r="I176" s="664"/>
      <c r="J176" s="664"/>
      <c r="K176" s="664"/>
      <c r="L176" s="664"/>
      <c r="M176" s="664"/>
      <c r="N176" s="664"/>
      <c r="O176" s="664"/>
      <c r="P176" s="664"/>
      <c r="Q176" s="664"/>
      <c r="R176" s="664"/>
      <c r="S176" s="664"/>
      <c r="T176" s="664"/>
      <c r="U176" s="664"/>
      <c r="V176" s="664"/>
      <c r="W176" s="664"/>
      <c r="X176" s="664"/>
      <c r="Y176" s="664"/>
      <c r="Z176" s="664"/>
      <c r="AA176" s="664"/>
      <c r="AB176" s="664"/>
      <c r="AC176" s="664"/>
      <c r="AD176" s="664"/>
      <c r="AE176" s="664"/>
      <c r="AF176" s="664"/>
      <c r="AG176" s="664"/>
      <c r="AH176" s="73"/>
      <c r="AI176" s="73"/>
      <c r="AJ176" s="73"/>
    </row>
    <row r="177" spans="1:46" s="73" customFormat="1" ht="15" customHeight="1" thickBot="1">
      <c r="A177" s="1442" t="s">
        <v>1612</v>
      </c>
      <c r="B177" s="1442"/>
      <c r="C177" s="1442"/>
      <c r="D177" s="1442"/>
      <c r="E177" s="1442"/>
      <c r="F177" s="1442"/>
      <c r="G177" s="1442"/>
      <c r="H177" s="1442"/>
      <c r="I177" s="1442"/>
      <c r="J177" s="1496" t="str">
        <f>IF(AI178,AA180,"×")</f>
        <v>×</v>
      </c>
      <c r="K177" s="1497"/>
      <c r="L177" s="1497"/>
      <c r="M177" s="1497"/>
      <c r="N177" s="1498"/>
      <c r="O177" s="1538" t="s">
        <v>268</v>
      </c>
      <c r="P177" s="1539"/>
      <c r="Q177" s="1539"/>
      <c r="R177" s="314"/>
      <c r="S177" s="314"/>
      <c r="T177" s="314"/>
      <c r="U177" s="314"/>
      <c r="V177" s="314"/>
      <c r="W177" s="314"/>
      <c r="X177" s="314"/>
      <c r="Y177" s="314"/>
      <c r="Z177" s="314"/>
      <c r="AA177" s="314"/>
      <c r="AB177" s="314"/>
      <c r="AC177" s="314"/>
      <c r="AD177" s="314"/>
      <c r="AE177" s="314"/>
      <c r="AF177" s="314"/>
      <c r="AG177" s="314"/>
      <c r="AH177" s="65"/>
      <c r="AI177" s="65"/>
      <c r="AJ177" s="65"/>
      <c r="AK177" s="65"/>
      <c r="AL177" s="65"/>
      <c r="AM177" s="65"/>
      <c r="AN177" s="65"/>
      <c r="AO177" s="65"/>
      <c r="AP177" s="65"/>
      <c r="AQ177" s="65"/>
      <c r="AR177" s="65"/>
      <c r="AS177" s="65"/>
      <c r="AT177" s="65"/>
    </row>
    <row r="178" spans="1:46" ht="15" customHeight="1">
      <c r="A178" s="1466" t="s">
        <v>121</v>
      </c>
      <c r="B178" s="1466"/>
      <c r="C178" s="1466"/>
      <c r="D178" s="1466"/>
      <c r="E178" s="1466"/>
      <c r="F178" s="1635"/>
      <c r="G178" s="1635"/>
      <c r="H178" s="1635"/>
      <c r="I178" s="1635"/>
      <c r="J178" s="1636"/>
      <c r="K178" s="1636"/>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I178" s="134" t="b">
        <f>F178="申請する"</f>
        <v>0</v>
      </c>
    </row>
    <row r="179" spans="1:46" ht="15" customHeight="1">
      <c r="A179" s="1681" t="s">
        <v>147</v>
      </c>
      <c r="B179" s="1682"/>
      <c r="C179" s="1682"/>
      <c r="D179" s="1682"/>
      <c r="E179" s="1682"/>
      <c r="F179" s="1528" t="s">
        <v>103</v>
      </c>
      <c r="G179" s="1466"/>
      <c r="H179" s="1466"/>
      <c r="I179" s="1466"/>
      <c r="J179" s="1466"/>
      <c r="K179" s="1466"/>
      <c r="L179" s="1466"/>
      <c r="M179" s="1466"/>
      <c r="N179" s="1466"/>
      <c r="O179" s="1466"/>
      <c r="P179" s="1466"/>
      <c r="Q179" s="1466"/>
      <c r="R179" s="1466"/>
      <c r="S179" s="1466"/>
      <c r="T179" s="1466"/>
      <c r="U179" s="1466"/>
      <c r="V179" s="1466"/>
      <c r="W179" s="1466"/>
      <c r="X179" s="1466"/>
      <c r="Y179" s="1466"/>
      <c r="Z179" s="1466"/>
      <c r="AA179" s="1466" t="s">
        <v>269</v>
      </c>
      <c r="AB179" s="1466"/>
      <c r="AC179" s="1466"/>
      <c r="AD179" s="1466"/>
      <c r="AE179" s="314"/>
      <c r="AF179" s="314"/>
      <c r="AG179" s="314"/>
      <c r="AI179" s="66"/>
    </row>
    <row r="180" spans="1:46" ht="15" customHeight="1">
      <c r="A180" s="1614"/>
      <c r="B180" s="1603"/>
      <c r="C180" s="1603"/>
      <c r="D180" s="1603"/>
      <c r="E180" s="1766"/>
      <c r="F180" s="1486" t="s">
        <v>1232</v>
      </c>
      <c r="G180" s="1486"/>
      <c r="H180" s="1486"/>
      <c r="I180" s="1486"/>
      <c r="J180" s="1486"/>
      <c r="K180" s="1486"/>
      <c r="L180" s="1486"/>
      <c r="M180" s="1486"/>
      <c r="N180" s="1486"/>
      <c r="O180" s="1486"/>
      <c r="P180" s="1486"/>
      <c r="Q180" s="1486"/>
      <c r="R180" s="1486"/>
      <c r="S180" s="1486"/>
      <c r="T180" s="1486"/>
      <c r="U180" s="1486"/>
      <c r="V180" s="1486"/>
      <c r="W180" s="1486"/>
      <c r="X180" s="1486"/>
      <c r="Y180" s="1486"/>
      <c r="Z180" s="1486"/>
      <c r="AA180" s="1795" t="str">
        <f>IFERROR(VLOOKUP($I$10,'(別紙４)通園'!$B$14:$G$25,4,FALSE),"×")</f>
        <v>×</v>
      </c>
      <c r="AB180" s="1704"/>
      <c r="AC180" s="1704"/>
      <c r="AD180" s="1705"/>
      <c r="AE180" s="314"/>
      <c r="AF180" s="314"/>
      <c r="AG180" s="314"/>
      <c r="AI180" s="66"/>
    </row>
    <row r="181" spans="1:46" ht="15" customHeight="1">
      <c r="A181" s="1713" t="s">
        <v>51</v>
      </c>
      <c r="B181" s="1714"/>
      <c r="C181" s="1714"/>
      <c r="D181" s="1714"/>
      <c r="E181" s="1528"/>
      <c r="F181" s="1467" t="s">
        <v>1231</v>
      </c>
      <c r="G181" s="1468"/>
      <c r="H181" s="1468"/>
      <c r="I181" s="1468"/>
      <c r="J181" s="1468"/>
      <c r="K181" s="1468"/>
      <c r="L181" s="1468"/>
      <c r="M181" s="1468"/>
      <c r="N181" s="1468"/>
      <c r="O181" s="1468"/>
      <c r="P181" s="1468"/>
      <c r="Q181" s="1468"/>
      <c r="R181" s="1468"/>
      <c r="S181" s="1468"/>
      <c r="T181" s="1468"/>
      <c r="U181" s="1468"/>
      <c r="V181" s="1468"/>
      <c r="W181" s="1468"/>
      <c r="X181" s="1468"/>
      <c r="Y181" s="1468"/>
      <c r="Z181" s="1468"/>
      <c r="AA181" s="1468" t="s">
        <v>52</v>
      </c>
      <c r="AB181" s="1468"/>
      <c r="AC181" s="1468"/>
      <c r="AD181" s="1469"/>
      <c r="AE181" s="314"/>
      <c r="AF181" s="314"/>
      <c r="AG181" s="314"/>
      <c r="AI181" s="66"/>
    </row>
    <row r="182" spans="1:46" s="73" customFormat="1" ht="15" customHeight="1">
      <c r="A182" s="314" t="s">
        <v>538</v>
      </c>
      <c r="B182" s="314"/>
      <c r="C182" s="314"/>
      <c r="D182" s="314"/>
      <c r="E182" s="314"/>
      <c r="F182" s="314"/>
      <c r="G182" s="314"/>
      <c r="H182" s="314"/>
      <c r="I182" s="314"/>
      <c r="J182" s="314"/>
      <c r="K182" s="314"/>
      <c r="L182" s="314"/>
      <c r="M182" s="314"/>
      <c r="N182" s="314"/>
      <c r="O182" s="314"/>
      <c r="P182" s="314"/>
      <c r="Q182" s="314"/>
      <c r="R182" s="314"/>
      <c r="S182" s="314"/>
      <c r="T182" s="314"/>
      <c r="U182" s="314"/>
      <c r="V182" s="314"/>
      <c r="W182" s="314"/>
      <c r="X182" s="314"/>
      <c r="Y182" s="314"/>
      <c r="Z182" s="314"/>
      <c r="AA182" s="314"/>
      <c r="AB182" s="314"/>
      <c r="AC182" s="314"/>
      <c r="AD182" s="314"/>
      <c r="AE182" s="314"/>
      <c r="AF182" s="314"/>
      <c r="AG182" s="314"/>
      <c r="AH182" s="65"/>
      <c r="AI182" s="66"/>
      <c r="AJ182" s="65"/>
      <c r="AK182" s="65"/>
      <c r="AL182" s="65"/>
      <c r="AM182" s="65"/>
    </row>
    <row r="183" spans="1:46" ht="15" customHeight="1" thickBot="1">
      <c r="A183" s="314"/>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c r="AA183" s="314"/>
      <c r="AB183" s="314"/>
      <c r="AC183" s="314"/>
      <c r="AD183" s="314"/>
      <c r="AE183" s="314"/>
      <c r="AF183" s="314"/>
      <c r="AG183" s="314"/>
    </row>
    <row r="184" spans="1:46" ht="15" customHeight="1" thickBot="1">
      <c r="A184" s="1442" t="s">
        <v>1613</v>
      </c>
      <c r="B184" s="1442"/>
      <c r="C184" s="1442"/>
      <c r="D184" s="1442"/>
      <c r="E184" s="1442"/>
      <c r="F184" s="1442"/>
      <c r="G184" s="1442"/>
      <c r="H184" s="1442"/>
      <c r="I184" s="1442"/>
      <c r="J184" s="1496" t="str">
        <f>IFERROR(IF(AND(AI185,AI187,AI188,AI197),AA188&amp;"-"&amp;AA197&amp;"日 ","×"),"エラー")</f>
        <v>×</v>
      </c>
      <c r="K184" s="1497"/>
      <c r="L184" s="1497"/>
      <c r="M184" s="1497"/>
      <c r="N184" s="1498"/>
      <c r="O184" s="1538" t="s">
        <v>268</v>
      </c>
      <c r="P184" s="1539"/>
      <c r="Q184" s="1539"/>
      <c r="R184" s="314"/>
      <c r="S184" s="314"/>
      <c r="T184" s="314"/>
      <c r="U184" s="314"/>
      <c r="V184" s="314"/>
      <c r="W184" s="314"/>
      <c r="X184" s="314"/>
      <c r="Y184" s="314"/>
      <c r="Z184" s="314"/>
      <c r="AA184" s="314"/>
      <c r="AB184" s="314"/>
      <c r="AC184" s="314"/>
      <c r="AD184" s="314"/>
      <c r="AE184" s="314"/>
      <c r="AF184" s="314"/>
      <c r="AG184" s="314"/>
    </row>
    <row r="185" spans="1:46" ht="15" customHeight="1">
      <c r="A185" s="1466" t="s">
        <v>121</v>
      </c>
      <c r="B185" s="1466"/>
      <c r="C185" s="1466"/>
      <c r="D185" s="1466"/>
      <c r="E185" s="1466"/>
      <c r="F185" s="1635"/>
      <c r="G185" s="1635"/>
      <c r="H185" s="1635"/>
      <c r="I185" s="1635"/>
      <c r="J185" s="1636"/>
      <c r="K185" s="1636"/>
      <c r="L185" s="1411" t="s">
        <v>513</v>
      </c>
      <c r="M185" s="1412"/>
      <c r="N185" s="1412"/>
      <c r="O185" s="1412"/>
      <c r="P185" s="1412"/>
      <c r="Q185" s="1412"/>
      <c r="R185" s="1412"/>
      <c r="S185" s="1412"/>
      <c r="T185" s="1412"/>
      <c r="U185" s="1412"/>
      <c r="V185" s="1412"/>
      <c r="W185" s="1412"/>
      <c r="X185" s="1412"/>
      <c r="Y185" s="1412"/>
      <c r="Z185" s="1412"/>
      <c r="AA185" s="1412"/>
      <c r="AB185" s="1412"/>
      <c r="AC185" s="1412"/>
      <c r="AD185" s="1412"/>
      <c r="AE185" s="314"/>
      <c r="AF185" s="314"/>
      <c r="AG185" s="314"/>
      <c r="AI185" s="134" t="b">
        <f>F185="申請する"</f>
        <v>0</v>
      </c>
    </row>
    <row r="186" spans="1:46" ht="15" customHeight="1">
      <c r="A186" s="1583" t="s">
        <v>503</v>
      </c>
      <c r="B186" s="1949"/>
      <c r="C186" s="1949"/>
      <c r="D186" s="1949"/>
      <c r="E186" s="1585"/>
      <c r="F186" s="1714" t="s">
        <v>103</v>
      </c>
      <c r="G186" s="1714"/>
      <c r="H186" s="1714"/>
      <c r="I186" s="1714"/>
      <c r="J186" s="1714"/>
      <c r="K186" s="1714"/>
      <c r="L186" s="1714"/>
      <c r="M186" s="1714"/>
      <c r="N186" s="1714"/>
      <c r="O186" s="1714"/>
      <c r="P186" s="1714"/>
      <c r="Q186" s="1714"/>
      <c r="R186" s="1714"/>
      <c r="S186" s="1714"/>
      <c r="T186" s="1714"/>
      <c r="U186" s="1714"/>
      <c r="V186" s="1714"/>
      <c r="W186" s="1714"/>
      <c r="X186" s="1714"/>
      <c r="Y186" s="1714"/>
      <c r="Z186" s="1528"/>
      <c r="AA186" s="1713" t="s">
        <v>269</v>
      </c>
      <c r="AB186" s="1714"/>
      <c r="AC186" s="1714"/>
      <c r="AD186" s="1528"/>
      <c r="AE186" s="314"/>
      <c r="AF186" s="314"/>
      <c r="AG186" s="314"/>
      <c r="AI186" s="66"/>
    </row>
    <row r="187" spans="1:46" ht="15" customHeight="1">
      <c r="A187" s="1586"/>
      <c r="B187" s="1587"/>
      <c r="C187" s="1587"/>
      <c r="D187" s="1587"/>
      <c r="E187" s="1588"/>
      <c r="F187" s="678">
        <v>1</v>
      </c>
      <c r="G187" s="1929" t="s">
        <v>619</v>
      </c>
      <c r="H187" s="1929"/>
      <c r="I187" s="1929"/>
      <c r="J187" s="1929"/>
      <c r="K187" s="1929"/>
      <c r="L187" s="1929"/>
      <c r="M187" s="1929"/>
      <c r="N187" s="1929"/>
      <c r="O187" s="1929"/>
      <c r="P187" s="1929"/>
      <c r="Q187" s="1929"/>
      <c r="R187" s="1929"/>
      <c r="S187" s="1929"/>
      <c r="T187" s="1929"/>
      <c r="U187" s="1916"/>
      <c r="V187" s="1916"/>
      <c r="W187" s="1916"/>
      <c r="X187" s="1916"/>
      <c r="Y187" s="1916"/>
      <c r="Z187" s="1917"/>
      <c r="AA187" s="1593" t="str">
        <f>IF(HLOOKUP($I$10,$G$203:$AD$204,2,FALSE)&gt;0,"○","×")</f>
        <v>×</v>
      </c>
      <c r="AB187" s="1756"/>
      <c r="AC187" s="1756"/>
      <c r="AD187" s="1629"/>
      <c r="AE187" s="314"/>
      <c r="AF187" s="314"/>
      <c r="AG187" s="314"/>
      <c r="AI187" s="134" t="b">
        <f>AA187="○"</f>
        <v>0</v>
      </c>
    </row>
    <row r="188" spans="1:46" ht="15" customHeight="1">
      <c r="A188" s="1586"/>
      <c r="B188" s="1587"/>
      <c r="C188" s="1587"/>
      <c r="D188" s="1587"/>
      <c r="E188" s="1588"/>
      <c r="F188" s="930">
        <v>2</v>
      </c>
      <c r="G188" s="1929" t="s">
        <v>504</v>
      </c>
      <c r="H188" s="1929"/>
      <c r="I188" s="1929"/>
      <c r="J188" s="1929"/>
      <c r="K188" s="1929"/>
      <c r="L188" s="1929"/>
      <c r="M188" s="1929"/>
      <c r="N188" s="1929"/>
      <c r="O188" s="1929"/>
      <c r="P188" s="1929"/>
      <c r="Q188" s="1929"/>
      <c r="R188" s="1929"/>
      <c r="S188" s="1929"/>
      <c r="T188" s="1929"/>
      <c r="U188" s="1929"/>
      <c r="V188" s="1929"/>
      <c r="W188" s="1929"/>
      <c r="X188" s="1929"/>
      <c r="Y188" s="1929"/>
      <c r="Z188" s="1952"/>
      <c r="AA188" s="1953" t="str">
        <f>IF(AI189,"調理",IF(AI196,"搬入","×"))</f>
        <v>×</v>
      </c>
      <c r="AB188" s="1954"/>
      <c r="AC188" s="1954"/>
      <c r="AD188" s="1955"/>
      <c r="AE188" s="314"/>
      <c r="AF188" s="314"/>
      <c r="AG188" s="314"/>
      <c r="AI188" s="134" t="b">
        <f>AA188&lt;&gt;"×"</f>
        <v>0</v>
      </c>
    </row>
    <row r="189" spans="1:46" s="73" customFormat="1" ht="24.95" customHeight="1">
      <c r="A189" s="1586"/>
      <c r="B189" s="1587"/>
      <c r="C189" s="1587"/>
      <c r="D189" s="1587"/>
      <c r="E189" s="1588"/>
      <c r="F189" s="1933" t="s">
        <v>270</v>
      </c>
      <c r="G189" s="1943"/>
      <c r="H189" s="1965" t="s">
        <v>606</v>
      </c>
      <c r="I189" s="1965"/>
      <c r="J189" s="1965"/>
      <c r="K189" s="1965"/>
      <c r="L189" s="1965"/>
      <c r="M189" s="1965"/>
      <c r="N189" s="1965"/>
      <c r="O189" s="1965"/>
      <c r="P189" s="1965"/>
      <c r="Q189" s="1965"/>
      <c r="R189" s="1965"/>
      <c r="S189" s="1965"/>
      <c r="T189" s="1965"/>
      <c r="U189" s="1965"/>
      <c r="V189" s="1965"/>
      <c r="W189" s="1965"/>
      <c r="X189" s="1965"/>
      <c r="Y189" s="1965"/>
      <c r="Z189" s="2008"/>
      <c r="AA189" s="1837" t="str">
        <f>IF(AND(AI190,AI191,AI194,AI195),"○","×")</f>
        <v>×</v>
      </c>
      <c r="AB189" s="1838"/>
      <c r="AC189" s="1838"/>
      <c r="AD189" s="1839"/>
      <c r="AE189" s="664"/>
      <c r="AF189" s="664"/>
      <c r="AG189" s="664"/>
      <c r="AI189" s="134" t="b">
        <f>AA189="○"</f>
        <v>0</v>
      </c>
    </row>
    <row r="190" spans="1:46" s="73" customFormat="1" ht="15" customHeight="1">
      <c r="A190" s="1586"/>
      <c r="B190" s="1587"/>
      <c r="C190" s="1587"/>
      <c r="D190" s="1587"/>
      <c r="E190" s="1588"/>
      <c r="F190" s="1586"/>
      <c r="G190" s="1944"/>
      <c r="H190" s="948" t="s">
        <v>352</v>
      </c>
      <c r="I190" s="1840" t="s">
        <v>614</v>
      </c>
      <c r="J190" s="1840"/>
      <c r="K190" s="1840"/>
      <c r="L190" s="1840"/>
      <c r="M190" s="1840"/>
      <c r="N190" s="1840"/>
      <c r="O190" s="1840"/>
      <c r="P190" s="1840"/>
      <c r="Q190" s="1840"/>
      <c r="R190" s="1840"/>
      <c r="S190" s="1840"/>
      <c r="T190" s="1840"/>
      <c r="U190" s="1840"/>
      <c r="V190" s="1840"/>
      <c r="W190" s="1840"/>
      <c r="X190" s="1840"/>
      <c r="Y190" s="1840"/>
      <c r="Z190" s="1841"/>
      <c r="AA190" s="1842"/>
      <c r="AB190" s="1843"/>
      <c r="AC190" s="1843"/>
      <c r="AD190" s="1844"/>
      <c r="AE190" s="664"/>
      <c r="AF190" s="664"/>
      <c r="AG190" s="664"/>
      <c r="AI190" s="134" t="b">
        <f t="shared" ref="AI190:AI196" si="11">AA190="○"</f>
        <v>0</v>
      </c>
    </row>
    <row r="191" spans="1:46" s="73" customFormat="1" ht="24.95" customHeight="1">
      <c r="A191" s="1586"/>
      <c r="B191" s="1587"/>
      <c r="C191" s="1587"/>
      <c r="D191" s="1587"/>
      <c r="E191" s="1588"/>
      <c r="F191" s="1586"/>
      <c r="G191" s="1944"/>
      <c r="H191" s="946" t="s">
        <v>353</v>
      </c>
      <c r="I191" s="1845" t="s">
        <v>1233</v>
      </c>
      <c r="J191" s="1845"/>
      <c r="K191" s="1845"/>
      <c r="L191" s="1845"/>
      <c r="M191" s="1845"/>
      <c r="N191" s="1845"/>
      <c r="O191" s="1845"/>
      <c r="P191" s="1845"/>
      <c r="Q191" s="1845"/>
      <c r="R191" s="1845"/>
      <c r="S191" s="1845"/>
      <c r="T191" s="1845"/>
      <c r="U191" s="1845"/>
      <c r="V191" s="1845"/>
      <c r="W191" s="1845"/>
      <c r="X191" s="1845"/>
      <c r="Y191" s="1845"/>
      <c r="Z191" s="1846"/>
      <c r="AA191" s="1630" t="str">
        <f>IF(AI190,IF(OR(AI192,AI193),"○","×"),"")</f>
        <v/>
      </c>
      <c r="AB191" s="1539"/>
      <c r="AC191" s="1539"/>
      <c r="AD191" s="1631"/>
      <c r="AE191" s="679"/>
      <c r="AF191" s="664"/>
      <c r="AG191" s="664"/>
      <c r="AI191" s="134" t="b">
        <f t="shared" si="11"/>
        <v>0</v>
      </c>
    </row>
    <row r="192" spans="1:46" s="73" customFormat="1" ht="24.95" customHeight="1">
      <c r="A192" s="1586"/>
      <c r="B192" s="1587"/>
      <c r="C192" s="1587"/>
      <c r="D192" s="1587"/>
      <c r="E192" s="1588"/>
      <c r="F192" s="1586"/>
      <c r="G192" s="1944"/>
      <c r="H192" s="1587" t="s">
        <v>505</v>
      </c>
      <c r="I192" s="1587"/>
      <c r="J192" s="1845" t="s">
        <v>1024</v>
      </c>
      <c r="K192" s="1845"/>
      <c r="L192" s="1845"/>
      <c r="M192" s="1845"/>
      <c r="N192" s="1845"/>
      <c r="O192" s="1845"/>
      <c r="P192" s="1845"/>
      <c r="Q192" s="1845"/>
      <c r="R192" s="1845"/>
      <c r="S192" s="1845"/>
      <c r="T192" s="1845"/>
      <c r="U192" s="1845"/>
      <c r="V192" s="1845"/>
      <c r="W192" s="1845"/>
      <c r="X192" s="1845"/>
      <c r="Y192" s="1845"/>
      <c r="Z192" s="1846"/>
      <c r="AA192" s="1842"/>
      <c r="AB192" s="1843"/>
      <c r="AC192" s="1843"/>
      <c r="AD192" s="1844"/>
      <c r="AE192" s="679"/>
      <c r="AF192" s="664"/>
      <c r="AG192" s="664"/>
      <c r="AI192" s="134" t="b">
        <f t="shared" si="11"/>
        <v>0</v>
      </c>
    </row>
    <row r="193" spans="1:60" s="73" customFormat="1" ht="39.950000000000003" customHeight="1">
      <c r="A193" s="1586"/>
      <c r="B193" s="1587"/>
      <c r="C193" s="1587"/>
      <c r="D193" s="1587"/>
      <c r="E193" s="1588"/>
      <c r="F193" s="1586"/>
      <c r="G193" s="1944"/>
      <c r="H193" s="1587" t="s">
        <v>506</v>
      </c>
      <c r="I193" s="1587"/>
      <c r="J193" s="1845" t="s">
        <v>615</v>
      </c>
      <c r="K193" s="1845"/>
      <c r="L193" s="1845"/>
      <c r="M193" s="1845"/>
      <c r="N193" s="1845"/>
      <c r="O193" s="1845"/>
      <c r="P193" s="1845"/>
      <c r="Q193" s="1845"/>
      <c r="R193" s="1845"/>
      <c r="S193" s="1845"/>
      <c r="T193" s="1845"/>
      <c r="U193" s="1845"/>
      <c r="V193" s="1845"/>
      <c r="W193" s="1845"/>
      <c r="X193" s="1845"/>
      <c r="Y193" s="1845"/>
      <c r="Z193" s="1846"/>
      <c r="AA193" s="1776"/>
      <c r="AB193" s="1777"/>
      <c r="AC193" s="1777"/>
      <c r="AD193" s="1778"/>
      <c r="AE193" s="664"/>
      <c r="AF193" s="664"/>
      <c r="AG193" s="664"/>
      <c r="AI193" s="134" t="b">
        <f t="shared" si="11"/>
        <v>0</v>
      </c>
    </row>
    <row r="194" spans="1:60" s="73" customFormat="1">
      <c r="A194" s="1586"/>
      <c r="B194" s="1587"/>
      <c r="C194" s="1587"/>
      <c r="D194" s="1587"/>
      <c r="E194" s="1588"/>
      <c r="F194" s="1586"/>
      <c r="G194" s="1944"/>
      <c r="H194" s="2009" t="s">
        <v>1022</v>
      </c>
      <c r="I194" s="2010"/>
      <c r="J194" s="2012" t="s">
        <v>1023</v>
      </c>
      <c r="K194" s="2012"/>
      <c r="L194" s="2012"/>
      <c r="M194" s="2012"/>
      <c r="N194" s="2012"/>
      <c r="O194" s="2012"/>
      <c r="P194" s="2012"/>
      <c r="Q194" s="2012"/>
      <c r="R194" s="2012"/>
      <c r="S194" s="2012"/>
      <c r="T194" s="2012"/>
      <c r="U194" s="2012"/>
      <c r="V194" s="2012"/>
      <c r="W194" s="2012"/>
      <c r="X194" s="2012"/>
      <c r="Y194" s="2012"/>
      <c r="Z194" s="2013"/>
      <c r="AA194" s="1946" t="str">
        <f>【様式５】職員数算出表!O77</f>
        <v>-</v>
      </c>
      <c r="AB194" s="1947"/>
      <c r="AC194" s="1947"/>
      <c r="AD194" s="1948"/>
      <c r="AE194" s="664"/>
      <c r="AF194" s="664"/>
      <c r="AG194" s="664"/>
      <c r="AI194" s="134" t="b">
        <f t="shared" si="11"/>
        <v>0</v>
      </c>
    </row>
    <row r="195" spans="1:60" s="73" customFormat="1" ht="24.95" customHeight="1">
      <c r="A195" s="1586"/>
      <c r="B195" s="1587"/>
      <c r="C195" s="1587"/>
      <c r="D195" s="1587"/>
      <c r="E195" s="1588"/>
      <c r="F195" s="1934"/>
      <c r="G195" s="1945"/>
      <c r="H195" s="683" t="s">
        <v>616</v>
      </c>
      <c r="I195" s="1937" t="s">
        <v>617</v>
      </c>
      <c r="J195" s="1937"/>
      <c r="K195" s="1937"/>
      <c r="L195" s="1937"/>
      <c r="M195" s="1937"/>
      <c r="N195" s="1937"/>
      <c r="O195" s="1937"/>
      <c r="P195" s="1937"/>
      <c r="Q195" s="1937"/>
      <c r="R195" s="1937"/>
      <c r="S195" s="1937"/>
      <c r="T195" s="1937"/>
      <c r="U195" s="1937"/>
      <c r="V195" s="1937"/>
      <c r="W195" s="1937"/>
      <c r="X195" s="1937"/>
      <c r="Y195" s="1937"/>
      <c r="Z195" s="1938"/>
      <c r="AA195" s="1893"/>
      <c r="AB195" s="1894"/>
      <c r="AC195" s="1894"/>
      <c r="AD195" s="1895"/>
      <c r="AE195" s="679"/>
      <c r="AF195" s="664"/>
      <c r="AG195" s="664"/>
      <c r="AI195" s="134" t="b">
        <f t="shared" si="11"/>
        <v>0</v>
      </c>
    </row>
    <row r="196" spans="1:60" s="73" customFormat="1" ht="39.950000000000003" customHeight="1">
      <c r="A196" s="1586"/>
      <c r="B196" s="1587"/>
      <c r="C196" s="1587"/>
      <c r="D196" s="1587"/>
      <c r="E196" s="1588"/>
      <c r="F196" s="1941" t="s">
        <v>88</v>
      </c>
      <c r="G196" s="1941"/>
      <c r="H196" s="1935" t="s">
        <v>618</v>
      </c>
      <c r="I196" s="1935"/>
      <c r="J196" s="1935"/>
      <c r="K196" s="1935"/>
      <c r="L196" s="1935"/>
      <c r="M196" s="1935"/>
      <c r="N196" s="1935"/>
      <c r="O196" s="1935"/>
      <c r="P196" s="1935"/>
      <c r="Q196" s="1935"/>
      <c r="R196" s="1935"/>
      <c r="S196" s="1935"/>
      <c r="T196" s="1935"/>
      <c r="U196" s="1935"/>
      <c r="V196" s="1935"/>
      <c r="W196" s="1935"/>
      <c r="X196" s="1935"/>
      <c r="Y196" s="1935"/>
      <c r="Z196" s="1936"/>
      <c r="AA196" s="1479"/>
      <c r="AB196" s="1480"/>
      <c r="AC196" s="1480"/>
      <c r="AD196" s="1481"/>
      <c r="AE196" s="664"/>
      <c r="AF196" s="664"/>
      <c r="AG196" s="664"/>
      <c r="AI196" s="134" t="b">
        <f t="shared" si="11"/>
        <v>0</v>
      </c>
    </row>
    <row r="197" spans="1:60" s="73" customFormat="1" ht="24.95" customHeight="1">
      <c r="A197" s="1586"/>
      <c r="B197" s="1587"/>
      <c r="C197" s="1587"/>
      <c r="D197" s="1587"/>
      <c r="E197" s="1588"/>
      <c r="F197" s="930">
        <v>3</v>
      </c>
      <c r="G197" s="1916" t="s">
        <v>507</v>
      </c>
      <c r="H197" s="1916"/>
      <c r="I197" s="1916"/>
      <c r="J197" s="1916"/>
      <c r="K197" s="1916"/>
      <c r="L197" s="1916"/>
      <c r="M197" s="1916"/>
      <c r="N197" s="1916"/>
      <c r="O197" s="1916"/>
      <c r="P197" s="1916"/>
      <c r="Q197" s="1916"/>
      <c r="R197" s="1916"/>
      <c r="S197" s="1916"/>
      <c r="T197" s="1916"/>
      <c r="U197" s="1916"/>
      <c r="V197" s="1916"/>
      <c r="W197" s="1916"/>
      <c r="X197" s="1916"/>
      <c r="Y197" s="1916"/>
      <c r="Z197" s="1917"/>
      <c r="AA197" s="1918">
        <f>IF(ISERROR(ROUND(AA205/4,0)),0,ROUND(AA205/4,0))</f>
        <v>0</v>
      </c>
      <c r="AB197" s="1919"/>
      <c r="AC197" s="1919"/>
      <c r="AD197" s="1920"/>
      <c r="AE197" s="664"/>
      <c r="AF197" s="664"/>
      <c r="AG197" s="664"/>
      <c r="AI197" s="134" t="b">
        <f>AA197&gt;0</f>
        <v>0</v>
      </c>
    </row>
    <row r="198" spans="1:60" s="73" customFormat="1" ht="15" customHeight="1">
      <c r="A198" s="1586"/>
      <c r="B198" s="1587"/>
      <c r="C198" s="1587"/>
      <c r="D198" s="1587"/>
      <c r="E198" s="1588"/>
      <c r="F198" s="1933" t="s">
        <v>270</v>
      </c>
      <c r="G198" s="1935" t="s">
        <v>508</v>
      </c>
      <c r="H198" s="1935"/>
      <c r="I198" s="1935"/>
      <c r="J198" s="1935"/>
      <c r="K198" s="1935"/>
      <c r="L198" s="1935"/>
      <c r="M198" s="1935"/>
      <c r="N198" s="1935"/>
      <c r="O198" s="1935"/>
      <c r="P198" s="1935"/>
      <c r="Q198" s="1935"/>
      <c r="R198" s="1935"/>
      <c r="S198" s="1935"/>
      <c r="T198" s="1935"/>
      <c r="U198" s="1935"/>
      <c r="V198" s="1935"/>
      <c r="W198" s="1935"/>
      <c r="X198" s="1935"/>
      <c r="Y198" s="1935"/>
      <c r="Z198" s="1936"/>
      <c r="AA198" s="1950">
        <f>IF(SUM(G201:AD201)='(別紙5)給食・副食'!$F$8,SUM(G200:AD200),"別紙と不一致")</f>
        <v>0</v>
      </c>
      <c r="AB198" s="1939"/>
      <c r="AC198" s="1939"/>
      <c r="AD198" s="1940"/>
      <c r="AE198" s="664"/>
      <c r="AF198" s="664"/>
      <c r="AG198" s="664"/>
      <c r="AI198" s="66"/>
      <c r="AM198" s="79"/>
      <c r="AN198" s="79"/>
      <c r="AO198" s="79"/>
      <c r="AP198" s="79"/>
    </row>
    <row r="199" spans="1:60" s="73" customFormat="1" ht="15" customHeight="1">
      <c r="A199" s="1586"/>
      <c r="B199" s="1587"/>
      <c r="C199" s="1587"/>
      <c r="D199" s="1587"/>
      <c r="E199" s="1588"/>
      <c r="F199" s="1586"/>
      <c r="G199" s="1951">
        <v>4</v>
      </c>
      <c r="H199" s="1773"/>
      <c r="I199" s="1773">
        <v>5</v>
      </c>
      <c r="J199" s="1773"/>
      <c r="K199" s="1773">
        <v>6</v>
      </c>
      <c r="L199" s="1773"/>
      <c r="M199" s="1773">
        <v>7</v>
      </c>
      <c r="N199" s="1773"/>
      <c r="O199" s="1773">
        <v>8</v>
      </c>
      <c r="P199" s="1773"/>
      <c r="Q199" s="1773">
        <v>9</v>
      </c>
      <c r="R199" s="1773"/>
      <c r="S199" s="1773">
        <v>10</v>
      </c>
      <c r="T199" s="1773"/>
      <c r="U199" s="1773">
        <v>11</v>
      </c>
      <c r="V199" s="1773"/>
      <c r="W199" s="1773">
        <v>12</v>
      </c>
      <c r="X199" s="1773"/>
      <c r="Y199" s="1773">
        <v>1</v>
      </c>
      <c r="Z199" s="1773"/>
      <c r="AA199" s="1773">
        <v>2</v>
      </c>
      <c r="AB199" s="1773"/>
      <c r="AC199" s="1773">
        <v>3</v>
      </c>
      <c r="AD199" s="1774"/>
      <c r="AE199" s="664"/>
      <c r="AF199" s="664"/>
      <c r="AG199" s="664"/>
      <c r="AI199" s="77"/>
      <c r="AM199" s="79"/>
      <c r="AN199" s="79"/>
      <c r="AO199" s="79"/>
      <c r="AP199" s="79"/>
    </row>
    <row r="200" spans="1:60" s="73" customFormat="1" ht="15" customHeight="1">
      <c r="A200" s="1586"/>
      <c r="B200" s="1587"/>
      <c r="C200" s="1587"/>
      <c r="D200" s="1587"/>
      <c r="E200" s="1588"/>
      <c r="F200" s="1586"/>
      <c r="G200" s="1942" t="str">
        <f>IF(G204&gt;0,G201,"×")</f>
        <v>×</v>
      </c>
      <c r="H200" s="1772"/>
      <c r="I200" s="1772" t="str">
        <f t="shared" ref="I200" si="12">IF(I204&gt;0,I201,"×")</f>
        <v>×</v>
      </c>
      <c r="J200" s="1772"/>
      <c r="K200" s="1772" t="str">
        <f>IF(K204&gt;0,K201,"×")</f>
        <v>×</v>
      </c>
      <c r="L200" s="1772"/>
      <c r="M200" s="1772" t="str">
        <f t="shared" ref="M200" si="13">IF(M204&gt;0,M201,"×")</f>
        <v>×</v>
      </c>
      <c r="N200" s="1772"/>
      <c r="O200" s="1772" t="str">
        <f t="shared" ref="O200" si="14">IF(O204&gt;0,O201,"×")</f>
        <v>×</v>
      </c>
      <c r="P200" s="1772"/>
      <c r="Q200" s="1772" t="str">
        <f t="shared" ref="Q200" si="15">IF(Q204&gt;0,Q201,"×")</f>
        <v>×</v>
      </c>
      <c r="R200" s="1772"/>
      <c r="S200" s="1772" t="str">
        <f t="shared" ref="S200" si="16">IF(S204&gt;0,S201,"×")</f>
        <v>×</v>
      </c>
      <c r="T200" s="1772"/>
      <c r="U200" s="1772" t="str">
        <f t="shared" ref="U200" si="17">IF(U204&gt;0,U201,"×")</f>
        <v>×</v>
      </c>
      <c r="V200" s="1772"/>
      <c r="W200" s="1772" t="str">
        <f t="shared" ref="W200" si="18">IF(W204&gt;0,W201,"×")</f>
        <v>×</v>
      </c>
      <c r="X200" s="1772"/>
      <c r="Y200" s="1772" t="str">
        <f t="shared" ref="Y200" si="19">IF(Y204&gt;0,Y201,"×")</f>
        <v>×</v>
      </c>
      <c r="Z200" s="1772"/>
      <c r="AA200" s="1772" t="str">
        <f t="shared" ref="AA200" si="20">IF(AA204&gt;0,AA201,"×")</f>
        <v>×</v>
      </c>
      <c r="AB200" s="1772"/>
      <c r="AC200" s="1772" t="str">
        <f t="shared" ref="AC200" si="21">IF(AC204&gt;0,AC201,"×")</f>
        <v>×</v>
      </c>
      <c r="AD200" s="2042"/>
      <c r="AE200" s="314"/>
      <c r="AF200" s="314"/>
      <c r="AG200" s="314"/>
      <c r="AI200" s="77"/>
      <c r="AM200" s="79"/>
      <c r="AN200" s="79"/>
      <c r="AO200" s="79"/>
      <c r="AP200" s="79"/>
    </row>
    <row r="201" spans="1:60" s="73" customFormat="1" ht="15" customHeight="1">
      <c r="A201" s="1586"/>
      <c r="B201" s="1587"/>
      <c r="C201" s="1587"/>
      <c r="D201" s="1587"/>
      <c r="E201" s="1588"/>
      <c r="F201" s="1934"/>
      <c r="G201" s="1779">
        <f>'(別紙5)給食・副食'!$AJ$11</f>
        <v>0</v>
      </c>
      <c r="H201" s="1771"/>
      <c r="I201" s="1771">
        <f>'(別紙5)給食・副食'!$AJ$16</f>
        <v>0</v>
      </c>
      <c r="J201" s="1771"/>
      <c r="K201" s="1771">
        <f>'(別紙5)給食・副食'!$AJ$21</f>
        <v>0</v>
      </c>
      <c r="L201" s="1771"/>
      <c r="M201" s="1771">
        <f>'(別紙5)給食・副食'!$AJ$26</f>
        <v>0</v>
      </c>
      <c r="N201" s="1771"/>
      <c r="O201" s="1771">
        <f>'(別紙5)給食・副食'!$AJ$31</f>
        <v>0</v>
      </c>
      <c r="P201" s="1771"/>
      <c r="Q201" s="1771">
        <f>'(別紙5)給食・副食'!$AJ$36</f>
        <v>0</v>
      </c>
      <c r="R201" s="1771"/>
      <c r="S201" s="1771">
        <f>'(別紙5)給食・副食'!$AJ$41</f>
        <v>0</v>
      </c>
      <c r="T201" s="1771"/>
      <c r="U201" s="1771">
        <f>'(別紙5)給食・副食'!$AJ$46</f>
        <v>0</v>
      </c>
      <c r="V201" s="1771"/>
      <c r="W201" s="1771">
        <f>'(別紙5)給食・副食'!$AJ$51</f>
        <v>0</v>
      </c>
      <c r="X201" s="1771"/>
      <c r="Y201" s="1771">
        <f>'(別紙5)給食・副食'!$AJ$56</f>
        <v>0</v>
      </c>
      <c r="Z201" s="1771"/>
      <c r="AA201" s="1771">
        <f>'(別紙5)給食・副食'!$AJ$61</f>
        <v>0</v>
      </c>
      <c r="AB201" s="1771"/>
      <c r="AC201" s="1771">
        <f>'(別紙5)給食・副食'!$AJ$66</f>
        <v>0</v>
      </c>
      <c r="AD201" s="2041"/>
      <c r="AE201" s="314"/>
      <c r="AF201" s="314"/>
      <c r="AG201" s="314"/>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row>
    <row r="202" spans="1:60" s="73" customFormat="1" ht="15" customHeight="1">
      <c r="A202" s="1586"/>
      <c r="B202" s="1587"/>
      <c r="C202" s="1587"/>
      <c r="D202" s="1587"/>
      <c r="E202" s="1588"/>
      <c r="F202" s="1933" t="s">
        <v>88</v>
      </c>
      <c r="G202" s="1941" t="s">
        <v>1021</v>
      </c>
      <c r="H202" s="1941"/>
      <c r="I202" s="1941"/>
      <c r="J202" s="1941"/>
      <c r="K202" s="1941"/>
      <c r="L202" s="1941"/>
      <c r="M202" s="1941"/>
      <c r="N202" s="1941"/>
      <c r="O202" s="1941"/>
      <c r="P202" s="1941"/>
      <c r="Q202" s="1941"/>
      <c r="R202" s="1941"/>
      <c r="S202" s="1941"/>
      <c r="T202" s="1941"/>
      <c r="U202" s="1941"/>
      <c r="V202" s="1941"/>
      <c r="W202" s="1941"/>
      <c r="X202" s="1941"/>
      <c r="Y202" s="1941"/>
      <c r="Z202" s="1941"/>
      <c r="AA202" s="1939">
        <f>IF(SUM(G204:AD204)='(別紙5)給食・副食'!$J$8,SUM(G204:AD204),"別紙と不一致")</f>
        <v>0</v>
      </c>
      <c r="AB202" s="1939"/>
      <c r="AC202" s="1939"/>
      <c r="AD202" s="1940"/>
      <c r="AE202" s="664"/>
      <c r="AF202" s="664"/>
      <c r="AG202" s="664"/>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row>
    <row r="203" spans="1:60" s="73" customFormat="1" ht="15" customHeight="1">
      <c r="A203" s="1586"/>
      <c r="B203" s="1587"/>
      <c r="C203" s="1587"/>
      <c r="D203" s="1587"/>
      <c r="E203" s="1588"/>
      <c r="F203" s="1586"/>
      <c r="G203" s="1951">
        <v>4</v>
      </c>
      <c r="H203" s="1773"/>
      <c r="I203" s="1773">
        <v>5</v>
      </c>
      <c r="J203" s="1773"/>
      <c r="K203" s="1773">
        <v>6</v>
      </c>
      <c r="L203" s="1773"/>
      <c r="M203" s="1773">
        <v>7</v>
      </c>
      <c r="N203" s="1773"/>
      <c r="O203" s="1773">
        <v>8</v>
      </c>
      <c r="P203" s="1773"/>
      <c r="Q203" s="1773">
        <v>9</v>
      </c>
      <c r="R203" s="1773"/>
      <c r="S203" s="1773">
        <v>10</v>
      </c>
      <c r="T203" s="1773"/>
      <c r="U203" s="1773">
        <v>11</v>
      </c>
      <c r="V203" s="1773"/>
      <c r="W203" s="1773">
        <v>12</v>
      </c>
      <c r="X203" s="1773"/>
      <c r="Y203" s="1773">
        <v>1</v>
      </c>
      <c r="Z203" s="1773"/>
      <c r="AA203" s="1773">
        <v>2</v>
      </c>
      <c r="AB203" s="1773"/>
      <c r="AC203" s="1773">
        <v>3</v>
      </c>
      <c r="AD203" s="1774"/>
      <c r="AE203" s="664"/>
      <c r="AF203" s="664"/>
      <c r="AG203" s="664"/>
      <c r="AI203" s="66"/>
    </row>
    <row r="204" spans="1:60" s="73" customFormat="1" ht="15" customHeight="1">
      <c r="A204" s="1586"/>
      <c r="B204" s="1587"/>
      <c r="C204" s="1587"/>
      <c r="D204" s="1587"/>
      <c r="E204" s="1588"/>
      <c r="F204" s="1934"/>
      <c r="G204" s="1775">
        <f>'(別紙5)給食・副食'!$AJ$12</f>
        <v>0</v>
      </c>
      <c r="H204" s="1571"/>
      <c r="I204" s="1571">
        <f>'(別紙5)給食・副食'!$AJ$17</f>
        <v>0</v>
      </c>
      <c r="J204" s="1571"/>
      <c r="K204" s="1571">
        <f>'(別紙5)給食・副食'!$AJ$22</f>
        <v>0</v>
      </c>
      <c r="L204" s="1571"/>
      <c r="M204" s="1571">
        <f>'(別紙5)給食・副食'!$AJ$27</f>
        <v>0</v>
      </c>
      <c r="N204" s="1571"/>
      <c r="O204" s="1571">
        <f>'(別紙5)給食・副食'!$AJ$32</f>
        <v>0</v>
      </c>
      <c r="P204" s="1571"/>
      <c r="Q204" s="1571">
        <f>'(別紙5)給食・副食'!$AJ$37</f>
        <v>0</v>
      </c>
      <c r="R204" s="1571"/>
      <c r="S204" s="1571">
        <f>'(別紙5)給食・副食'!$AJ$42</f>
        <v>0</v>
      </c>
      <c r="T204" s="1571"/>
      <c r="U204" s="1571">
        <f>'(別紙5)給食・副食'!$AJ$47</f>
        <v>0</v>
      </c>
      <c r="V204" s="1571"/>
      <c r="W204" s="1571">
        <f>'(別紙5)給食・副食'!$AJ$52</f>
        <v>0</v>
      </c>
      <c r="X204" s="1571"/>
      <c r="Y204" s="1571">
        <f>'(別紙5)給食・副食'!$AJ$57</f>
        <v>0</v>
      </c>
      <c r="Z204" s="1571"/>
      <c r="AA204" s="1571">
        <f>'(別紙5)給食・副食'!$AJ$62</f>
        <v>0</v>
      </c>
      <c r="AB204" s="1571"/>
      <c r="AC204" s="1571">
        <f>'(別紙5)給食・副食'!$AJ$67</f>
        <v>0</v>
      </c>
      <c r="AD204" s="1767"/>
      <c r="AE204" s="664"/>
      <c r="AF204" s="664"/>
      <c r="AG204" s="664"/>
      <c r="AI204" s="66"/>
      <c r="AM204" s="80"/>
      <c r="AN204" s="80"/>
      <c r="AO204" s="80"/>
      <c r="AP204" s="80"/>
    </row>
    <row r="205" spans="1:60" s="73" customFormat="1" ht="15" customHeight="1">
      <c r="A205" s="1589"/>
      <c r="B205" s="1424"/>
      <c r="C205" s="1424"/>
      <c r="D205" s="1424"/>
      <c r="E205" s="1590"/>
      <c r="F205" s="682" t="s">
        <v>509</v>
      </c>
      <c r="G205" s="1491" t="s">
        <v>510</v>
      </c>
      <c r="H205" s="1491"/>
      <c r="I205" s="1491"/>
      <c r="J205" s="1491"/>
      <c r="K205" s="1491"/>
      <c r="L205" s="1491"/>
      <c r="M205" s="1491"/>
      <c r="N205" s="1491"/>
      <c r="O205" s="1491"/>
      <c r="P205" s="1491"/>
      <c r="Q205" s="1491"/>
      <c r="R205" s="1491"/>
      <c r="S205" s="1491"/>
      <c r="T205" s="1491"/>
      <c r="U205" s="1491"/>
      <c r="V205" s="1491"/>
      <c r="W205" s="1491"/>
      <c r="X205" s="1491"/>
      <c r="Y205" s="1491"/>
      <c r="Z205" s="1491"/>
      <c r="AA205" s="1958">
        <f>IF(ISERROR(AA202/AA198*20),0,AA202/AA198*20)</f>
        <v>0</v>
      </c>
      <c r="AB205" s="1959"/>
      <c r="AC205" s="1959"/>
      <c r="AD205" s="1960"/>
      <c r="AE205" s="314"/>
      <c r="AF205" s="314"/>
      <c r="AG205" s="314"/>
      <c r="AI205" s="65"/>
    </row>
    <row r="206" spans="1:60" ht="15" customHeight="1">
      <c r="A206" s="1665" t="s">
        <v>51</v>
      </c>
      <c r="B206" s="1756"/>
      <c r="C206" s="1756"/>
      <c r="D206" s="1756"/>
      <c r="E206" s="1629"/>
      <c r="F206" s="1752" t="s">
        <v>1235</v>
      </c>
      <c r="G206" s="2040"/>
      <c r="H206" s="2040"/>
      <c r="I206" s="2040"/>
      <c r="J206" s="2040"/>
      <c r="K206" s="2040"/>
      <c r="L206" s="2040"/>
      <c r="M206" s="2040"/>
      <c r="N206" s="2040"/>
      <c r="O206" s="2040"/>
      <c r="P206" s="2040"/>
      <c r="Q206" s="2040"/>
      <c r="R206" s="2040"/>
      <c r="S206" s="2040"/>
      <c r="T206" s="2040"/>
      <c r="U206" s="2040"/>
      <c r="V206" s="2040"/>
      <c r="W206" s="2040"/>
      <c r="X206" s="2040"/>
      <c r="Y206" s="2040"/>
      <c r="Z206" s="2040"/>
      <c r="AA206" s="2040"/>
      <c r="AB206" s="2040"/>
      <c r="AC206" s="2040"/>
      <c r="AD206" s="1462"/>
      <c r="AE206" s="680"/>
      <c r="AF206" s="681"/>
      <c r="AG206" s="681"/>
      <c r="AI206" s="66"/>
    </row>
    <row r="207" spans="1:60" ht="15" customHeight="1">
      <c r="A207" s="1630"/>
      <c r="B207" s="1539"/>
      <c r="C207" s="1539"/>
      <c r="D207" s="1539"/>
      <c r="E207" s="1631"/>
      <c r="F207" s="1569" t="s">
        <v>611</v>
      </c>
      <c r="G207" s="1429"/>
      <c r="H207" s="1429"/>
      <c r="I207" s="1429"/>
      <c r="J207" s="1429"/>
      <c r="K207" s="1429"/>
      <c r="L207" s="1429"/>
      <c r="M207" s="1429"/>
      <c r="N207" s="1429"/>
      <c r="O207" s="1429"/>
      <c r="P207" s="1429"/>
      <c r="Q207" s="1429"/>
      <c r="R207" s="1429"/>
      <c r="S207" s="1429"/>
      <c r="T207" s="1429"/>
      <c r="U207" s="1429"/>
      <c r="V207" s="1429"/>
      <c r="W207" s="1429"/>
      <c r="X207" s="1429"/>
      <c r="Y207" s="1429"/>
      <c r="Z207" s="1429"/>
      <c r="AA207" s="1429"/>
      <c r="AB207" s="1429"/>
      <c r="AC207" s="1429"/>
      <c r="AD207" s="1570"/>
      <c r="AE207" s="680"/>
      <c r="AF207" s="681"/>
      <c r="AG207" s="681"/>
      <c r="AI207" s="66"/>
    </row>
    <row r="208" spans="1:60" ht="24.95" customHeight="1">
      <c r="A208" s="1630"/>
      <c r="B208" s="1539"/>
      <c r="C208" s="1539"/>
      <c r="D208" s="1539"/>
      <c r="E208" s="1631"/>
      <c r="F208" s="1569" t="s">
        <v>613</v>
      </c>
      <c r="G208" s="1429"/>
      <c r="H208" s="1429"/>
      <c r="I208" s="1429"/>
      <c r="J208" s="1429"/>
      <c r="K208" s="1429"/>
      <c r="L208" s="1429"/>
      <c r="M208" s="1429"/>
      <c r="N208" s="1429"/>
      <c r="O208" s="1429"/>
      <c r="P208" s="1429"/>
      <c r="Q208" s="1429"/>
      <c r="R208" s="1429"/>
      <c r="S208" s="1429"/>
      <c r="T208" s="1429"/>
      <c r="U208" s="1429"/>
      <c r="V208" s="1429"/>
      <c r="W208" s="1429"/>
      <c r="X208" s="1429"/>
      <c r="Y208" s="1429"/>
      <c r="Z208" s="1429"/>
      <c r="AA208" s="1429"/>
      <c r="AB208" s="1429"/>
      <c r="AC208" s="1429"/>
      <c r="AD208" s="1570"/>
      <c r="AE208" s="680"/>
      <c r="AF208" s="681"/>
      <c r="AG208" s="681"/>
      <c r="AI208" s="66"/>
    </row>
    <row r="209" spans="1:48" ht="15" customHeight="1">
      <c r="A209" s="1630"/>
      <c r="B209" s="1539"/>
      <c r="C209" s="1539"/>
      <c r="D209" s="1539"/>
      <c r="E209" s="1631"/>
      <c r="F209" s="1569" t="s">
        <v>612</v>
      </c>
      <c r="G209" s="1429"/>
      <c r="H209" s="1429"/>
      <c r="I209" s="1429"/>
      <c r="J209" s="1429"/>
      <c r="K209" s="1429"/>
      <c r="L209" s="1429"/>
      <c r="M209" s="1429"/>
      <c r="N209" s="1429"/>
      <c r="O209" s="1429"/>
      <c r="P209" s="1429"/>
      <c r="Q209" s="1429"/>
      <c r="R209" s="1429"/>
      <c r="S209" s="1429"/>
      <c r="T209" s="1429"/>
      <c r="U209" s="1429"/>
      <c r="V209" s="1429"/>
      <c r="W209" s="1429"/>
      <c r="X209" s="1429"/>
      <c r="Y209" s="1429"/>
      <c r="Z209" s="1429"/>
      <c r="AA209" s="1429"/>
      <c r="AB209" s="1429"/>
      <c r="AC209" s="1429"/>
      <c r="AD209" s="1570"/>
      <c r="AE209" s="680"/>
      <c r="AF209" s="681"/>
      <c r="AG209" s="681"/>
      <c r="AI209" s="66"/>
    </row>
    <row r="210" spans="1:48" ht="15" customHeight="1">
      <c r="A210" s="1411"/>
      <c r="B210" s="1412"/>
      <c r="C210" s="1412"/>
      <c r="D210" s="1412"/>
      <c r="E210" s="1439"/>
      <c r="F210" s="1400" t="s">
        <v>511</v>
      </c>
      <c r="G210" s="1401"/>
      <c r="H210" s="1401"/>
      <c r="I210" s="1401"/>
      <c r="J210" s="1401"/>
      <c r="K210" s="1401"/>
      <c r="L210" s="1401"/>
      <c r="M210" s="1401"/>
      <c r="N210" s="1401"/>
      <c r="O210" s="1401"/>
      <c r="P210" s="1401"/>
      <c r="Q210" s="1401"/>
      <c r="R210" s="1401"/>
      <c r="S210" s="1401"/>
      <c r="T210" s="1401"/>
      <c r="U210" s="1401"/>
      <c r="V210" s="1401"/>
      <c r="W210" s="1401"/>
      <c r="X210" s="1401"/>
      <c r="Y210" s="1401"/>
      <c r="Z210" s="1401"/>
      <c r="AA210" s="1401"/>
      <c r="AB210" s="1401"/>
      <c r="AC210" s="1401"/>
      <c r="AD210" s="1402"/>
      <c r="AE210" s="680"/>
      <c r="AF210" s="681"/>
      <c r="AG210" s="681"/>
      <c r="AI210" s="66"/>
    </row>
    <row r="211" spans="1:48" ht="15" customHeight="1">
      <c r="A211" s="1579" t="s">
        <v>512</v>
      </c>
      <c r="B211" s="1579"/>
      <c r="C211" s="1579"/>
      <c r="D211" s="1579"/>
      <c r="E211" s="1579"/>
      <c r="F211" s="1579"/>
      <c r="G211" s="1579"/>
      <c r="H211" s="1579"/>
      <c r="I211" s="1579"/>
      <c r="J211" s="1579"/>
      <c r="K211" s="1579"/>
      <c r="L211" s="1579"/>
      <c r="M211" s="1579"/>
      <c r="N211" s="1579"/>
      <c r="O211" s="1579"/>
      <c r="P211" s="1579"/>
      <c r="Q211" s="1579"/>
      <c r="R211" s="1579"/>
      <c r="S211" s="1579"/>
      <c r="T211" s="1579"/>
      <c r="U211" s="1579"/>
      <c r="V211" s="1579"/>
      <c r="W211" s="1579"/>
      <c r="X211" s="1579"/>
      <c r="Y211" s="1579"/>
      <c r="Z211" s="1579"/>
      <c r="AA211" s="1579"/>
      <c r="AB211" s="1579"/>
      <c r="AC211" s="1579"/>
      <c r="AD211" s="1579"/>
      <c r="AE211" s="1579"/>
      <c r="AF211" s="1579"/>
      <c r="AG211" s="1579"/>
      <c r="AI211" s="66"/>
    </row>
    <row r="212" spans="1:48" ht="15" customHeight="1">
      <c r="A212" s="1466" t="s">
        <v>160</v>
      </c>
      <c r="B212" s="1466"/>
      <c r="C212" s="1466"/>
      <c r="D212" s="1466"/>
      <c r="E212" s="1466"/>
      <c r="F212" s="1466" t="s">
        <v>607</v>
      </c>
      <c r="G212" s="1466"/>
      <c r="H212" s="1466"/>
      <c r="I212" s="1466"/>
      <c r="J212" s="1466"/>
      <c r="K212" s="1466"/>
      <c r="L212" s="1466"/>
      <c r="M212" s="1466"/>
      <c r="N212" s="1466"/>
      <c r="O212" s="1466"/>
      <c r="P212" s="1466"/>
      <c r="Q212" s="1466"/>
      <c r="R212" s="1466"/>
      <c r="S212" s="1466"/>
      <c r="T212" s="1466"/>
      <c r="U212" s="1466"/>
      <c r="V212" s="1466"/>
      <c r="W212" s="1466"/>
      <c r="X212" s="1466"/>
      <c r="Y212" s="1466"/>
      <c r="Z212" s="1466"/>
      <c r="AA212" s="1466"/>
      <c r="AB212" s="1466"/>
      <c r="AC212" s="1466"/>
      <c r="AD212" s="1466"/>
      <c r="AE212" s="314"/>
      <c r="AF212" s="314"/>
      <c r="AG212" s="314"/>
      <c r="AH212" s="73"/>
    </row>
    <row r="213" spans="1:48" ht="24.95" customHeight="1">
      <c r="A213" s="1961" t="s">
        <v>335</v>
      </c>
      <c r="B213" s="1961"/>
      <c r="C213" s="1961"/>
      <c r="D213" s="1961"/>
      <c r="E213" s="1961"/>
      <c r="F213" s="1962" t="s">
        <v>608</v>
      </c>
      <c r="G213" s="1962"/>
      <c r="H213" s="1962"/>
      <c r="I213" s="1962"/>
      <c r="J213" s="1962"/>
      <c r="K213" s="1962"/>
      <c r="L213" s="1962"/>
      <c r="M213" s="1962"/>
      <c r="N213" s="1962"/>
      <c r="O213" s="1962"/>
      <c r="P213" s="1962"/>
      <c r="Q213" s="1962"/>
      <c r="R213" s="1962"/>
      <c r="S213" s="1962"/>
      <c r="T213" s="1962"/>
      <c r="U213" s="1962"/>
      <c r="V213" s="1962"/>
      <c r="W213" s="1962"/>
      <c r="X213" s="1962"/>
      <c r="Y213" s="1962"/>
      <c r="Z213" s="1962"/>
      <c r="AA213" s="1962"/>
      <c r="AB213" s="1962"/>
      <c r="AC213" s="1962"/>
      <c r="AD213" s="1962"/>
      <c r="AE213" s="314"/>
      <c r="AF213" s="314"/>
      <c r="AG213" s="314"/>
      <c r="AH213" s="73"/>
    </row>
    <row r="214" spans="1:48" ht="24.95" customHeight="1">
      <c r="A214" s="1657" t="s">
        <v>609</v>
      </c>
      <c r="B214" s="1657"/>
      <c r="C214" s="1657"/>
      <c r="D214" s="1657"/>
      <c r="E214" s="1657"/>
      <c r="F214" s="1658" t="s">
        <v>610</v>
      </c>
      <c r="G214" s="1658"/>
      <c r="H214" s="1658"/>
      <c r="I214" s="1658"/>
      <c r="J214" s="1658"/>
      <c r="K214" s="1658"/>
      <c r="L214" s="1658"/>
      <c r="M214" s="1658"/>
      <c r="N214" s="1658"/>
      <c r="O214" s="1658"/>
      <c r="P214" s="1658"/>
      <c r="Q214" s="1658"/>
      <c r="R214" s="1658"/>
      <c r="S214" s="1658"/>
      <c r="T214" s="1658"/>
      <c r="U214" s="1658"/>
      <c r="V214" s="1658"/>
      <c r="W214" s="1658"/>
      <c r="X214" s="1658"/>
      <c r="Y214" s="1658"/>
      <c r="Z214" s="1658"/>
      <c r="AA214" s="1658"/>
      <c r="AB214" s="1658"/>
      <c r="AC214" s="1658"/>
      <c r="AD214" s="1658"/>
      <c r="AE214" s="314"/>
      <c r="AF214" s="314"/>
      <c r="AG214" s="314"/>
      <c r="AH214" s="73"/>
    </row>
    <row r="215" spans="1:48" ht="39.950000000000003" customHeight="1">
      <c r="A215" s="1429" t="s">
        <v>1195</v>
      </c>
      <c r="B215" s="1429"/>
      <c r="C215" s="1429"/>
      <c r="D215" s="1429"/>
      <c r="E215" s="1429"/>
      <c r="F215" s="1429"/>
      <c r="G215" s="1429"/>
      <c r="H215" s="1429"/>
      <c r="I215" s="1429"/>
      <c r="J215" s="1429"/>
      <c r="K215" s="1429"/>
      <c r="L215" s="1429"/>
      <c r="M215" s="1429"/>
      <c r="N215" s="1429"/>
      <c r="O215" s="1429"/>
      <c r="P215" s="1429"/>
      <c r="Q215" s="1429"/>
      <c r="R215" s="1429"/>
      <c r="S215" s="1429"/>
      <c r="T215" s="1429"/>
      <c r="U215" s="1429"/>
      <c r="V215" s="1429"/>
      <c r="W215" s="1429"/>
      <c r="X215" s="1429"/>
      <c r="Y215" s="1429"/>
      <c r="Z215" s="1429"/>
      <c r="AA215" s="1429"/>
      <c r="AB215" s="1429"/>
      <c r="AC215" s="1429"/>
      <c r="AD215" s="1429"/>
      <c r="AE215" s="1429"/>
      <c r="AF215" s="1429"/>
      <c r="AG215" s="1429"/>
      <c r="AI215" s="66"/>
    </row>
    <row r="216" spans="1:48" ht="15" customHeight="1">
      <c r="A216" s="1715" t="s">
        <v>1194</v>
      </c>
      <c r="B216" s="1715"/>
      <c r="C216" s="1715"/>
      <c r="D216" s="1715"/>
      <c r="E216" s="1715"/>
      <c r="F216" s="1715"/>
      <c r="G216" s="1715"/>
      <c r="H216" s="1715"/>
      <c r="I216" s="1715"/>
      <c r="J216" s="1715"/>
      <c r="K216" s="1715"/>
      <c r="L216" s="1715"/>
      <c r="M216" s="1715"/>
      <c r="N216" s="1715"/>
      <c r="O216" s="1715"/>
      <c r="P216" s="1715"/>
      <c r="Q216" s="1715"/>
      <c r="R216" s="1715"/>
      <c r="S216" s="1715"/>
      <c r="T216" s="1715"/>
      <c r="U216" s="1715"/>
      <c r="V216" s="1715"/>
      <c r="W216" s="1715"/>
      <c r="X216" s="1715"/>
      <c r="Y216" s="1715"/>
      <c r="Z216" s="1715"/>
      <c r="AA216" s="1715"/>
      <c r="AB216" s="1715"/>
      <c r="AC216" s="1715"/>
      <c r="AD216" s="1715"/>
      <c r="AE216" s="1715"/>
      <c r="AF216" s="1715"/>
      <c r="AG216" s="1715"/>
      <c r="AI216" s="66"/>
    </row>
    <row r="217" spans="1:48" ht="15" customHeight="1">
      <c r="A217" s="1715"/>
      <c r="B217" s="1715"/>
      <c r="C217" s="1715"/>
      <c r="D217" s="1715"/>
      <c r="E217" s="1715"/>
      <c r="F217" s="1715"/>
      <c r="G217" s="1715"/>
      <c r="H217" s="1715"/>
      <c r="I217" s="1715"/>
      <c r="J217" s="1715"/>
      <c r="K217" s="1715"/>
      <c r="L217" s="1715"/>
      <c r="M217" s="1715"/>
      <c r="N217" s="1715"/>
      <c r="O217" s="1715"/>
      <c r="P217" s="1715"/>
      <c r="Q217" s="1715"/>
      <c r="R217" s="1715"/>
      <c r="S217" s="1715"/>
      <c r="T217" s="1715"/>
      <c r="U217" s="1715"/>
      <c r="V217" s="1715"/>
      <c r="W217" s="1715"/>
      <c r="X217" s="1715"/>
      <c r="Y217" s="1715"/>
      <c r="Z217" s="1715"/>
      <c r="AA217" s="1715"/>
      <c r="AB217" s="1715"/>
      <c r="AC217" s="1715"/>
      <c r="AD217" s="1715"/>
      <c r="AE217" s="1715"/>
      <c r="AF217" s="1715"/>
      <c r="AG217" s="1715"/>
    </row>
    <row r="218" spans="1:48" ht="15" customHeight="1" thickBot="1">
      <c r="A218" s="939"/>
      <c r="B218" s="939"/>
      <c r="C218" s="939"/>
      <c r="D218" s="939"/>
      <c r="E218" s="939"/>
      <c r="F218" s="939"/>
      <c r="G218" s="939"/>
      <c r="H218" s="939"/>
      <c r="I218" s="939"/>
      <c r="J218" s="939"/>
      <c r="K218" s="939"/>
      <c r="L218" s="939"/>
      <c r="M218" s="939"/>
      <c r="N218" s="939"/>
      <c r="O218" s="939"/>
      <c r="P218" s="939"/>
      <c r="Q218" s="939"/>
      <c r="R218" s="939"/>
      <c r="S218" s="939"/>
      <c r="T218" s="939"/>
      <c r="U218" s="939"/>
      <c r="V218" s="939"/>
      <c r="W218" s="939"/>
      <c r="X218" s="939"/>
      <c r="Y218" s="939"/>
      <c r="Z218" s="939"/>
      <c r="AA218" s="939"/>
      <c r="AB218" s="939"/>
      <c r="AC218" s="939"/>
      <c r="AD218" s="939"/>
      <c r="AE218" s="939"/>
      <c r="AF218" s="939"/>
      <c r="AG218" s="939"/>
    </row>
    <row r="219" spans="1:48" ht="15" customHeight="1" thickBot="1">
      <c r="A219" s="1575" t="s">
        <v>1614</v>
      </c>
      <c r="B219" s="1575"/>
      <c r="C219" s="1575"/>
      <c r="D219" s="1575"/>
      <c r="E219" s="1575"/>
      <c r="F219" s="1575"/>
      <c r="G219" s="1575"/>
      <c r="H219" s="1575"/>
      <c r="I219" s="1575"/>
      <c r="J219" s="1496" t="str">
        <f>IF(AND(AI221,AI223,AI224),AA225,"×")</f>
        <v>×</v>
      </c>
      <c r="K219" s="1497"/>
      <c r="L219" s="1497"/>
      <c r="M219" s="1497"/>
      <c r="N219" s="1498"/>
      <c r="O219" s="1538" t="s">
        <v>268</v>
      </c>
      <c r="P219" s="1539"/>
      <c r="Q219" s="1539"/>
      <c r="R219" s="314"/>
      <c r="S219" s="314"/>
      <c r="T219" s="314"/>
      <c r="U219" s="314"/>
      <c r="V219" s="314"/>
      <c r="W219" s="314"/>
      <c r="X219" s="314"/>
      <c r="Y219" s="314"/>
      <c r="Z219" s="314"/>
      <c r="AA219" s="314"/>
      <c r="AB219" s="314"/>
      <c r="AC219" s="314"/>
      <c r="AD219" s="314"/>
      <c r="AE219" s="314"/>
      <c r="AF219" s="314"/>
      <c r="AG219" s="314"/>
      <c r="AI219" s="66"/>
    </row>
    <row r="220" spans="1:48" ht="15" customHeight="1">
      <c r="A220" s="1576" t="s">
        <v>514</v>
      </c>
      <c r="B220" s="1576"/>
      <c r="C220" s="1576"/>
      <c r="D220" s="1576"/>
      <c r="E220" s="1576"/>
      <c r="F220" s="1576"/>
      <c r="G220" s="1576"/>
      <c r="H220" s="1576"/>
      <c r="I220" s="1576"/>
      <c r="J220" s="1576"/>
      <c r="K220" s="1576"/>
      <c r="L220" s="1576"/>
      <c r="M220" s="1576"/>
      <c r="N220" s="1576"/>
      <c r="O220" s="1576"/>
      <c r="P220" s="1576"/>
      <c r="Q220" s="1576"/>
      <c r="R220" s="1576"/>
      <c r="S220" s="1576"/>
      <c r="T220" s="1576"/>
      <c r="U220" s="1576"/>
      <c r="V220" s="1576"/>
      <c r="W220" s="1576"/>
      <c r="X220" s="1576"/>
      <c r="Y220" s="1576"/>
      <c r="Z220" s="1576"/>
      <c r="AA220" s="1576"/>
      <c r="AB220" s="1576"/>
      <c r="AC220" s="1576"/>
      <c r="AD220" s="1576"/>
      <c r="AE220" s="1576"/>
      <c r="AF220" s="1576"/>
      <c r="AG220" s="1576"/>
      <c r="AI220" s="66"/>
    </row>
    <row r="221" spans="1:48" ht="15" customHeight="1">
      <c r="A221" s="1795" t="s">
        <v>121</v>
      </c>
      <c r="B221" s="1704"/>
      <c r="C221" s="1704"/>
      <c r="D221" s="1704"/>
      <c r="E221" s="1663"/>
      <c r="F221" s="1662"/>
      <c r="G221" s="1662"/>
      <c r="H221" s="1662"/>
      <c r="I221" s="1662"/>
      <c r="J221" s="1662"/>
      <c r="K221" s="1662"/>
      <c r="L221" s="681"/>
      <c r="M221" s="681"/>
      <c r="N221" s="681"/>
      <c r="O221" s="681"/>
      <c r="P221" s="681"/>
      <c r="Q221" s="681"/>
      <c r="R221" s="681"/>
      <c r="S221" s="681"/>
      <c r="T221" s="681"/>
      <c r="U221" s="681"/>
      <c r="V221" s="681"/>
      <c r="W221" s="681"/>
      <c r="X221" s="681"/>
      <c r="Y221" s="681"/>
      <c r="Z221" s="681"/>
      <c r="AA221" s="681"/>
      <c r="AB221" s="681"/>
      <c r="AC221" s="681"/>
      <c r="AD221" s="681"/>
      <c r="AE221" s="681"/>
      <c r="AF221" s="681"/>
      <c r="AG221" s="681"/>
      <c r="AI221" s="134" t="b">
        <f>F221="申請する"</f>
        <v>0</v>
      </c>
    </row>
    <row r="222" spans="1:48" ht="15" customHeight="1">
      <c r="A222" s="1483" t="s">
        <v>515</v>
      </c>
      <c r="B222" s="1756"/>
      <c r="C222" s="1756"/>
      <c r="D222" s="1756"/>
      <c r="E222" s="1756"/>
      <c r="F222" s="1663" t="s">
        <v>103</v>
      </c>
      <c r="G222" s="1523"/>
      <c r="H222" s="1523"/>
      <c r="I222" s="1523"/>
      <c r="J222" s="1523"/>
      <c r="K222" s="1523"/>
      <c r="L222" s="1523"/>
      <c r="M222" s="1523"/>
      <c r="N222" s="1523"/>
      <c r="O222" s="1523"/>
      <c r="P222" s="1523"/>
      <c r="Q222" s="1523"/>
      <c r="R222" s="1523"/>
      <c r="S222" s="1523"/>
      <c r="T222" s="1523"/>
      <c r="U222" s="1523"/>
      <c r="V222" s="1523"/>
      <c r="W222" s="1523"/>
      <c r="X222" s="1523"/>
      <c r="Y222" s="1523"/>
      <c r="Z222" s="1523"/>
      <c r="AA222" s="1523" t="s">
        <v>269</v>
      </c>
      <c r="AB222" s="1523"/>
      <c r="AC222" s="1523"/>
      <c r="AD222" s="1523"/>
      <c r="AE222" s="681"/>
      <c r="AF222" s="681"/>
      <c r="AG222" s="681"/>
      <c r="AI222" s="951"/>
    </row>
    <row r="223" spans="1:48" ht="24.95" customHeight="1">
      <c r="A223" s="1630"/>
      <c r="B223" s="1539"/>
      <c r="C223" s="1539"/>
      <c r="D223" s="1539"/>
      <c r="E223" s="1539"/>
      <c r="F223" s="933">
        <v>1</v>
      </c>
      <c r="G223" s="1468" t="s">
        <v>586</v>
      </c>
      <c r="H223" s="1468"/>
      <c r="I223" s="1468"/>
      <c r="J223" s="1468"/>
      <c r="K223" s="1468"/>
      <c r="L223" s="1468"/>
      <c r="M223" s="1468"/>
      <c r="N223" s="1468"/>
      <c r="O223" s="1468"/>
      <c r="P223" s="1468"/>
      <c r="Q223" s="1468"/>
      <c r="R223" s="1468"/>
      <c r="S223" s="1468"/>
      <c r="T223" s="1468"/>
      <c r="U223" s="1468"/>
      <c r="V223" s="1468"/>
      <c r="W223" s="1468"/>
      <c r="X223" s="1468"/>
      <c r="Y223" s="1468"/>
      <c r="Z223" s="1568"/>
      <c r="AA223" s="1662"/>
      <c r="AB223" s="1662"/>
      <c r="AC223" s="1662"/>
      <c r="AD223" s="1662"/>
      <c r="AE223" s="681"/>
      <c r="AF223" s="681"/>
      <c r="AG223" s="681"/>
      <c r="AI223" s="134" t="b">
        <f>AA223="○"</f>
        <v>0</v>
      </c>
    </row>
    <row r="224" spans="1:48" ht="15" customHeight="1">
      <c r="A224" s="1630"/>
      <c r="B224" s="1539"/>
      <c r="C224" s="1539"/>
      <c r="D224" s="1539"/>
      <c r="E224" s="1539"/>
      <c r="F224" s="1665">
        <v>2</v>
      </c>
      <c r="G224" s="1515" t="s">
        <v>516</v>
      </c>
      <c r="H224" s="1515"/>
      <c r="I224" s="1515"/>
      <c r="J224" s="1515"/>
      <c r="K224" s="1515"/>
      <c r="L224" s="1515"/>
      <c r="M224" s="1515"/>
      <c r="N224" s="1515"/>
      <c r="O224" s="1515"/>
      <c r="P224" s="1515"/>
      <c r="Q224" s="1515"/>
      <c r="R224" s="1515"/>
      <c r="S224" s="1515"/>
      <c r="T224" s="1515"/>
      <c r="U224" s="1515"/>
      <c r="V224" s="1515"/>
      <c r="W224" s="1515"/>
      <c r="X224" s="1515"/>
      <c r="Y224" s="1515"/>
      <c r="Z224" s="1462"/>
      <c r="AA224" s="1593" t="str">
        <f>IF(ISERROR(V225),"×",IF(V225&gt;0,"○","×"))</f>
        <v>×</v>
      </c>
      <c r="AB224" s="1664"/>
      <c r="AC224" s="1664"/>
      <c r="AD224" s="1629"/>
      <c r="AE224" s="314"/>
      <c r="AF224" s="314"/>
      <c r="AG224" s="314"/>
      <c r="AI224" s="134" t="b">
        <f>(AA224="○")</f>
        <v>0</v>
      </c>
      <c r="AJ224" s="134" t="s">
        <v>85</v>
      </c>
      <c r="AK224" s="134">
        <v>4</v>
      </c>
      <c r="AL224" s="134">
        <v>5</v>
      </c>
      <c r="AM224" s="134">
        <v>6</v>
      </c>
      <c r="AN224" s="134">
        <v>7</v>
      </c>
      <c r="AO224" s="134">
        <v>8</v>
      </c>
      <c r="AP224" s="134">
        <v>9</v>
      </c>
      <c r="AQ224" s="134">
        <v>10</v>
      </c>
      <c r="AR224" s="134">
        <v>11</v>
      </c>
      <c r="AS224" s="134">
        <v>12</v>
      </c>
      <c r="AT224" s="134">
        <v>1</v>
      </c>
      <c r="AU224" s="134">
        <v>2</v>
      </c>
      <c r="AV224" s="134">
        <v>3</v>
      </c>
    </row>
    <row r="225" spans="1:50" ht="125.1" customHeight="1">
      <c r="A225" s="1630"/>
      <c r="B225" s="1539"/>
      <c r="C225" s="1539"/>
      <c r="D225" s="1539"/>
      <c r="E225" s="1539"/>
      <c r="F225" s="1630"/>
      <c r="G225" s="1447" t="s">
        <v>635</v>
      </c>
      <c r="H225" s="1447"/>
      <c r="I225" s="1447"/>
      <c r="J225" s="1447"/>
      <c r="K225" s="1447"/>
      <c r="L225" s="1447"/>
      <c r="M225" s="1447"/>
      <c r="N225" s="1447"/>
      <c r="O225" s="1447"/>
      <c r="P225" s="1447"/>
      <c r="Q225" s="1447"/>
      <c r="R225" s="1447"/>
      <c r="S225" s="1447"/>
      <c r="T225" s="1447"/>
      <c r="U225" s="1447"/>
      <c r="V225" s="1669">
        <f>IFERROR(HLOOKUP($I$10,$AK$224:$AV$226,2,FALSE),0)</f>
        <v>0</v>
      </c>
      <c r="W225" s="1670"/>
      <c r="X225" s="1670"/>
      <c r="Y225" s="1670"/>
      <c r="Z225" s="1671"/>
      <c r="AA225" s="1788">
        <f>MIN(20,V225)</f>
        <v>0</v>
      </c>
      <c r="AB225" s="1789"/>
      <c r="AC225" s="1789"/>
      <c r="AD225" s="1790"/>
      <c r="AE225" s="314"/>
      <c r="AF225" s="314"/>
      <c r="AG225" s="314"/>
      <c r="AI225" s="66"/>
      <c r="AJ225" s="134" t="s">
        <v>1197</v>
      </c>
      <c r="AK225" s="134">
        <f>'(別紙5)給食・副食'!$AJ$13</f>
        <v>0</v>
      </c>
      <c r="AL225" s="134">
        <f>'(別紙5)給食・副食'!$AJ$18</f>
        <v>0</v>
      </c>
      <c r="AM225" s="836">
        <f>'(別紙5)給食・副食'!$AJ$23</f>
        <v>0</v>
      </c>
      <c r="AN225" s="836">
        <f>'(別紙5)給食・副食'!$AJ$28</f>
        <v>0</v>
      </c>
      <c r="AO225" s="134">
        <f>'(別紙5)給食・副食'!$AJ$33</f>
        <v>0</v>
      </c>
      <c r="AP225" s="134">
        <f>'(別紙5)給食・副食'!$AJ$38</f>
        <v>0</v>
      </c>
      <c r="AQ225" s="134">
        <f>'(別紙5)給食・副食'!$AJ$43</f>
        <v>0</v>
      </c>
      <c r="AR225" s="134">
        <f>'(別紙5)給食・副食'!$AJ$48</f>
        <v>0</v>
      </c>
      <c r="AS225" s="134">
        <f>'(別紙5)給食・副食'!$AJ$53</f>
        <v>0</v>
      </c>
      <c r="AT225" s="134">
        <f>'(別紙5)給食・副食'!$AJ$58</f>
        <v>0</v>
      </c>
      <c r="AU225" s="134">
        <f>'(別紙5)給食・副食'!$AJ$63</f>
        <v>0</v>
      </c>
      <c r="AV225" s="134">
        <f>'(別紙5)給食・副食'!$AJ$68</f>
        <v>0</v>
      </c>
    </row>
    <row r="226" spans="1:50" ht="15" hidden="1" customHeight="1">
      <c r="A226" s="1411"/>
      <c r="B226" s="1412"/>
      <c r="C226" s="1412"/>
      <c r="D226" s="1412"/>
      <c r="E226" s="1412"/>
      <c r="F226" s="1411"/>
      <c r="G226" s="1456" t="s">
        <v>1196</v>
      </c>
      <c r="H226" s="1456"/>
      <c r="I226" s="1456"/>
      <c r="J226" s="1456"/>
      <c r="K226" s="1456"/>
      <c r="L226" s="1456"/>
      <c r="M226" s="1456"/>
      <c r="N226" s="1456"/>
      <c r="O226" s="1456"/>
      <c r="P226" s="1456"/>
      <c r="Q226" s="1456"/>
      <c r="R226" s="1456"/>
      <c r="S226" s="1456"/>
      <c r="T226" s="1456"/>
      <c r="U226" s="2050"/>
      <c r="V226" s="1666" t="str">
        <f>IFERROR(IF(HLOOKUP($I$10,$AK$224:$AV$226,3,FALSE)=0,"",HLOOKUP($I$10,$AK$224:$AV$226,3,FALSE)),"")</f>
        <v/>
      </c>
      <c r="W226" s="1667"/>
      <c r="X226" s="1667"/>
      <c r="Y226" s="1667"/>
      <c r="Z226" s="1668"/>
      <c r="AA226" s="1791"/>
      <c r="AB226" s="1792"/>
      <c r="AC226" s="1792"/>
      <c r="AD226" s="1793"/>
      <c r="AE226" s="314"/>
      <c r="AF226" s="314"/>
      <c r="AG226" s="314"/>
      <c r="AI226" s="66"/>
      <c r="AJ226" s="134" t="s">
        <v>864</v>
      </c>
      <c r="AK226" s="134">
        <f>'(別紙5)給食・副食'!$C$11</f>
        <v>0</v>
      </c>
      <c r="AL226" s="134">
        <f>'(別紙5)給食・副食'!$C$16</f>
        <v>0</v>
      </c>
      <c r="AM226" s="134">
        <f>'(別紙5)給食・副食'!$C$21</f>
        <v>0</v>
      </c>
      <c r="AN226" s="134">
        <f>'(別紙5)給食・副食'!$C$26</f>
        <v>0</v>
      </c>
      <c r="AO226" s="134">
        <f>'(別紙5)給食・副食'!$C$31</f>
        <v>0</v>
      </c>
      <c r="AP226" s="134">
        <f>'(別紙5)給食・副食'!$C$36</f>
        <v>0</v>
      </c>
      <c r="AQ226" s="134">
        <f>'(別紙5)給食・副食'!$C$41</f>
        <v>0</v>
      </c>
      <c r="AR226" s="134">
        <f>'(別紙5)給食・副食'!$C$46</f>
        <v>0</v>
      </c>
      <c r="AS226" s="134">
        <f>'(別紙5)給食・副食'!$C$51</f>
        <v>0</v>
      </c>
      <c r="AT226" s="134">
        <f>'(別紙5)給食・副食'!$C$56</f>
        <v>0</v>
      </c>
      <c r="AU226" s="134">
        <f>'(別紙5)給食・副食'!$C$61</f>
        <v>0</v>
      </c>
      <c r="AV226" s="134">
        <f>'(別紙5)給食・副食'!$C$66</f>
        <v>0</v>
      </c>
    </row>
    <row r="227" spans="1:50" ht="15" customHeight="1">
      <c r="A227" s="1399" t="s">
        <v>51</v>
      </c>
      <c r="B227" s="1399"/>
      <c r="C227" s="1399"/>
      <c r="D227" s="1399"/>
      <c r="E227" s="1399"/>
      <c r="F227" s="2046" t="s">
        <v>1199</v>
      </c>
      <c r="G227" s="2046"/>
      <c r="H227" s="2046"/>
      <c r="I227" s="2046"/>
      <c r="J227" s="2046"/>
      <c r="K227" s="2046"/>
      <c r="L227" s="2046"/>
      <c r="M227" s="2046"/>
      <c r="N227" s="2046"/>
      <c r="O227" s="2046"/>
      <c r="P227" s="2046"/>
      <c r="Q227" s="2046"/>
      <c r="R227" s="2046"/>
      <c r="S227" s="2046"/>
      <c r="T227" s="2046"/>
      <c r="U227" s="2046"/>
      <c r="V227" s="2046"/>
      <c r="W227" s="2046"/>
      <c r="X227" s="2046"/>
      <c r="Y227" s="2046"/>
      <c r="Z227" s="2046"/>
      <c r="AA227" s="2046"/>
      <c r="AB227" s="2046"/>
      <c r="AC227" s="2046"/>
      <c r="AD227" s="2046"/>
      <c r="AE227" s="314"/>
      <c r="AF227" s="314"/>
      <c r="AG227" s="314"/>
      <c r="AI227" s="66"/>
    </row>
    <row r="228" spans="1:50" ht="39.950000000000003" customHeight="1">
      <c r="A228" s="1429" t="s">
        <v>291</v>
      </c>
      <c r="B228" s="1429"/>
      <c r="C228" s="1429"/>
      <c r="D228" s="1429"/>
      <c r="E228" s="1429"/>
      <c r="F228" s="1429"/>
      <c r="G228" s="1429"/>
      <c r="H228" s="1429"/>
      <c r="I228" s="1429"/>
      <c r="J228" s="1429"/>
      <c r="K228" s="1429"/>
      <c r="L228" s="1429"/>
      <c r="M228" s="1429"/>
      <c r="N228" s="1429"/>
      <c r="O228" s="1429"/>
      <c r="P228" s="1429"/>
      <c r="Q228" s="1429"/>
      <c r="R228" s="1429"/>
      <c r="S228" s="1429"/>
      <c r="T228" s="1429"/>
      <c r="U228" s="1429"/>
      <c r="V228" s="1429"/>
      <c r="W228" s="1429"/>
      <c r="X228" s="1429"/>
      <c r="Y228" s="1429"/>
      <c r="Z228" s="1429"/>
      <c r="AA228" s="1429"/>
      <c r="AB228" s="1429"/>
      <c r="AC228" s="1429"/>
      <c r="AD228" s="1429"/>
      <c r="AE228" s="1429"/>
      <c r="AF228" s="1429"/>
      <c r="AG228" s="1429"/>
      <c r="AI228" s="66"/>
    </row>
    <row r="229" spans="1:50" ht="15" customHeight="1">
      <c r="A229" s="1849" t="s">
        <v>517</v>
      </c>
      <c r="B229" s="1849"/>
      <c r="C229" s="1849"/>
      <c r="D229" s="1849"/>
      <c r="E229" s="1849"/>
      <c r="F229" s="1849"/>
      <c r="G229" s="1849"/>
      <c r="H229" s="1849"/>
      <c r="I229" s="1849"/>
      <c r="J229" s="1849"/>
      <c r="K229" s="1849"/>
      <c r="L229" s="1849"/>
      <c r="M229" s="1849"/>
      <c r="N229" s="1849"/>
      <c r="O229" s="1849"/>
      <c r="P229" s="1849"/>
      <c r="Q229" s="1849"/>
      <c r="R229" s="1849"/>
      <c r="S229" s="1849"/>
      <c r="T229" s="1849"/>
      <c r="U229" s="1849"/>
      <c r="V229" s="1849"/>
      <c r="W229" s="1849"/>
      <c r="X229" s="1849"/>
      <c r="Y229" s="1849"/>
      <c r="Z229" s="1849"/>
      <c r="AA229" s="1849"/>
      <c r="AB229" s="1849"/>
      <c r="AC229" s="1849"/>
      <c r="AD229" s="1849"/>
      <c r="AE229" s="1849"/>
      <c r="AF229" s="1849"/>
      <c r="AG229" s="1849"/>
      <c r="AI229" s="66"/>
    </row>
    <row r="230" spans="1:50" ht="15" customHeight="1">
      <c r="A230" s="1623" t="s">
        <v>518</v>
      </c>
      <c r="B230" s="1623"/>
      <c r="C230" s="1623"/>
      <c r="D230" s="1623"/>
      <c r="E230" s="1623"/>
      <c r="F230" s="1623"/>
      <c r="G230" s="1623"/>
      <c r="H230" s="1623"/>
      <c r="I230" s="1623"/>
      <c r="J230" s="1623"/>
      <c r="K230" s="1623"/>
      <c r="L230" s="1623"/>
      <c r="M230" s="1623"/>
      <c r="N230" s="1623"/>
      <c r="O230" s="1623"/>
      <c r="P230" s="1623"/>
      <c r="Q230" s="1623"/>
      <c r="R230" s="1623"/>
      <c r="S230" s="1623"/>
      <c r="T230" s="1623"/>
      <c r="U230" s="1623"/>
      <c r="V230" s="1623"/>
      <c r="W230" s="1623"/>
      <c r="X230" s="1623"/>
      <c r="Y230" s="1623"/>
      <c r="Z230" s="1623"/>
      <c r="AA230" s="1623"/>
      <c r="AB230" s="1623"/>
      <c r="AC230" s="1623"/>
      <c r="AD230" s="1623"/>
      <c r="AE230" s="1623"/>
      <c r="AF230" s="1623"/>
      <c r="AG230" s="1623"/>
      <c r="AI230" s="66"/>
    </row>
    <row r="231" spans="1:50" ht="15" customHeight="1">
      <c r="A231" s="1715" t="s">
        <v>1198</v>
      </c>
      <c r="B231" s="1715"/>
      <c r="C231" s="1715"/>
      <c r="D231" s="1715"/>
      <c r="E231" s="1715"/>
      <c r="F231" s="1715"/>
      <c r="G231" s="1715"/>
      <c r="H231" s="1715"/>
      <c r="I231" s="1715"/>
      <c r="J231" s="1715"/>
      <c r="K231" s="1715"/>
      <c r="L231" s="1715"/>
      <c r="M231" s="1715"/>
      <c r="N231" s="1715"/>
      <c r="O231" s="1715"/>
      <c r="P231" s="1715"/>
      <c r="Q231" s="1715"/>
      <c r="R231" s="1715"/>
      <c r="S231" s="1715"/>
      <c r="T231" s="1715"/>
      <c r="U231" s="1715"/>
      <c r="V231" s="1715"/>
      <c r="W231" s="1715"/>
      <c r="X231" s="1715"/>
      <c r="Y231" s="1715"/>
      <c r="Z231" s="1715"/>
      <c r="AA231" s="1715"/>
      <c r="AB231" s="1715"/>
      <c r="AC231" s="1715"/>
      <c r="AD231" s="1715"/>
      <c r="AE231" s="1715"/>
      <c r="AF231" s="1715"/>
      <c r="AG231" s="1715"/>
      <c r="AI231" s="66"/>
    </row>
    <row r="232" spans="1:50" ht="15" customHeight="1">
      <c r="A232" s="1715"/>
      <c r="B232" s="1715"/>
      <c r="C232" s="1715"/>
      <c r="D232" s="1715"/>
      <c r="E232" s="1715"/>
      <c r="F232" s="1715"/>
      <c r="G232" s="1715"/>
      <c r="H232" s="1715"/>
      <c r="I232" s="1715"/>
      <c r="J232" s="1715"/>
      <c r="K232" s="1715"/>
      <c r="L232" s="1715"/>
      <c r="M232" s="1715"/>
      <c r="N232" s="1715"/>
      <c r="O232" s="1715"/>
      <c r="P232" s="1715"/>
      <c r="Q232" s="1715"/>
      <c r="R232" s="1715"/>
      <c r="S232" s="1715"/>
      <c r="T232" s="1715"/>
      <c r="U232" s="1715"/>
      <c r="V232" s="1715"/>
      <c r="W232" s="1715"/>
      <c r="X232" s="1715"/>
      <c r="Y232" s="1715"/>
      <c r="Z232" s="1715"/>
      <c r="AA232" s="1715"/>
      <c r="AB232" s="1715"/>
      <c r="AC232" s="1715"/>
      <c r="AD232" s="1715"/>
      <c r="AE232" s="1715"/>
      <c r="AF232" s="1715"/>
      <c r="AG232" s="1715"/>
      <c r="AI232" s="66"/>
    </row>
    <row r="233" spans="1:50" ht="15" customHeight="1" thickBot="1">
      <c r="A233" s="926"/>
      <c r="B233" s="184"/>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c r="AB233" s="184"/>
      <c r="AC233" s="184"/>
      <c r="AD233" s="184"/>
      <c r="AE233" s="314"/>
      <c r="AF233" s="314"/>
      <c r="AG233" s="314"/>
      <c r="AI233" s="66"/>
    </row>
    <row r="234" spans="1:50" ht="15" customHeight="1" thickBot="1">
      <c r="A234" s="1533" t="s">
        <v>1615</v>
      </c>
      <c r="B234" s="1533"/>
      <c r="C234" s="1533"/>
      <c r="D234" s="1533"/>
      <c r="E234" s="1533"/>
      <c r="F234" s="1533"/>
      <c r="G234" s="1533"/>
      <c r="H234" s="1533"/>
      <c r="I234" s="1533"/>
      <c r="J234" s="1496" t="str">
        <f>IFERROR(IF(AND(AI235,AI237,AI241,AI242),TEXT(AD245,"#,##0#")&amp;"人","×"),"エラー")</f>
        <v>エラー</v>
      </c>
      <c r="K234" s="1497"/>
      <c r="L234" s="1497"/>
      <c r="M234" s="1497"/>
      <c r="N234" s="1498"/>
      <c r="O234" s="1538" t="s">
        <v>268</v>
      </c>
      <c r="P234" s="1539"/>
      <c r="Q234" s="1539"/>
      <c r="R234" s="314"/>
      <c r="S234" s="314"/>
      <c r="T234" s="314"/>
      <c r="U234" s="314"/>
      <c r="V234" s="314"/>
      <c r="W234" s="314"/>
      <c r="X234" s="314"/>
      <c r="Y234" s="314"/>
      <c r="Z234" s="314"/>
      <c r="AA234" s="314"/>
      <c r="AB234" s="314"/>
      <c r="AC234" s="314"/>
      <c r="AD234" s="314"/>
      <c r="AE234" s="314"/>
      <c r="AF234" s="314"/>
      <c r="AG234" s="314"/>
    </row>
    <row r="235" spans="1:50" ht="15" customHeight="1">
      <c r="A235" s="1466" t="s">
        <v>121</v>
      </c>
      <c r="B235" s="1466"/>
      <c r="C235" s="1466"/>
      <c r="D235" s="1466"/>
      <c r="E235" s="1466"/>
      <c r="F235" s="1635"/>
      <c r="G235" s="1635"/>
      <c r="H235" s="1635"/>
      <c r="I235" s="1635"/>
      <c r="J235" s="1635"/>
      <c r="K235" s="1635"/>
      <c r="L235" s="314"/>
      <c r="M235" s="314"/>
      <c r="N235" s="314"/>
      <c r="O235" s="314"/>
      <c r="P235" s="314"/>
      <c r="Q235" s="314"/>
      <c r="R235" s="314"/>
      <c r="S235" s="314"/>
      <c r="T235" s="314"/>
      <c r="U235" s="314"/>
      <c r="V235" s="314"/>
      <c r="W235" s="314"/>
      <c r="X235" s="314"/>
      <c r="Y235" s="314"/>
      <c r="Z235" s="314"/>
      <c r="AA235" s="314"/>
      <c r="AB235" s="314"/>
      <c r="AC235" s="314"/>
      <c r="AD235" s="314"/>
      <c r="AE235" s="314"/>
      <c r="AF235" s="314"/>
      <c r="AG235" s="314"/>
      <c r="AI235" s="134" t="b">
        <f>F235="申請する"</f>
        <v>0</v>
      </c>
    </row>
    <row r="236" spans="1:50" ht="15" customHeight="1">
      <c r="A236" s="1847" t="s">
        <v>1333</v>
      </c>
      <c r="B236" s="2121"/>
      <c r="C236" s="2121"/>
      <c r="D236" s="2121"/>
      <c r="E236" s="2121"/>
      <c r="F236" s="1714" t="s">
        <v>103</v>
      </c>
      <c r="G236" s="1714"/>
      <c r="H236" s="1714"/>
      <c r="I236" s="1714"/>
      <c r="J236" s="1714"/>
      <c r="K236" s="1714"/>
      <c r="L236" s="1714"/>
      <c r="M236" s="1714"/>
      <c r="N236" s="1714"/>
      <c r="O236" s="1714"/>
      <c r="P236" s="1714"/>
      <c r="Q236" s="1714"/>
      <c r="R236" s="1714"/>
      <c r="S236" s="1714"/>
      <c r="T236" s="1714"/>
      <c r="U236" s="1714"/>
      <c r="V236" s="1714"/>
      <c r="W236" s="1714"/>
      <c r="X236" s="1714"/>
      <c r="Y236" s="1714"/>
      <c r="Z236" s="1528"/>
      <c r="AA236" s="1713" t="s">
        <v>269</v>
      </c>
      <c r="AB236" s="1714"/>
      <c r="AC236" s="1714"/>
      <c r="AD236" s="1528"/>
      <c r="AE236" s="314"/>
      <c r="AF236" s="314"/>
      <c r="AG236" s="314"/>
      <c r="AI236" s="66"/>
    </row>
    <row r="237" spans="1:50" ht="24.95" customHeight="1">
      <c r="A237" s="1540"/>
      <c r="B237" s="1541"/>
      <c r="C237" s="1541"/>
      <c r="D237" s="1541"/>
      <c r="E237" s="1406"/>
      <c r="F237" s="927">
        <v>1</v>
      </c>
      <c r="G237" s="1515" t="s">
        <v>499</v>
      </c>
      <c r="H237" s="1515"/>
      <c r="I237" s="1515"/>
      <c r="J237" s="1515"/>
      <c r="K237" s="1515"/>
      <c r="L237" s="1515"/>
      <c r="M237" s="1515"/>
      <c r="N237" s="1515"/>
      <c r="O237" s="1515"/>
      <c r="P237" s="1515"/>
      <c r="Q237" s="1515"/>
      <c r="R237" s="1515"/>
      <c r="S237" s="1515"/>
      <c r="T237" s="1515"/>
      <c r="U237" s="1515"/>
      <c r="V237" s="1515"/>
      <c r="W237" s="1515"/>
      <c r="X237" s="1515"/>
      <c r="Y237" s="1515"/>
      <c r="Z237" s="1462"/>
      <c r="AA237" s="1647" t="str">
        <f>IF(OR(AI238,AND(AI239,AI240)),"○","×")</f>
        <v>×</v>
      </c>
      <c r="AB237" s="1648"/>
      <c r="AC237" s="1648"/>
      <c r="AD237" s="1966"/>
      <c r="AE237" s="314"/>
      <c r="AF237" s="314"/>
      <c r="AG237" s="314"/>
      <c r="AH237" s="73"/>
      <c r="AI237" s="134" t="b">
        <f>AA237="○"</f>
        <v>0</v>
      </c>
      <c r="AU237" s="133"/>
      <c r="AV237" s="133"/>
      <c r="AW237" s="133"/>
      <c r="AX237" s="133"/>
    </row>
    <row r="238" spans="1:50" ht="15" customHeight="1">
      <c r="A238" s="1540"/>
      <c r="B238" s="1541"/>
      <c r="C238" s="1541"/>
      <c r="D238" s="1541"/>
      <c r="E238" s="1406"/>
      <c r="F238" s="1995" t="s">
        <v>500</v>
      </c>
      <c r="G238" s="1996"/>
      <c r="H238" s="1447" t="s">
        <v>292</v>
      </c>
      <c r="I238" s="1447"/>
      <c r="J238" s="1447"/>
      <c r="K238" s="1447"/>
      <c r="L238" s="1447"/>
      <c r="M238" s="1447"/>
      <c r="N238" s="1447"/>
      <c r="O238" s="1447"/>
      <c r="P238" s="1447"/>
      <c r="Q238" s="1447"/>
      <c r="R238" s="1447"/>
      <c r="S238" s="1447"/>
      <c r="T238" s="1447"/>
      <c r="U238" s="1447"/>
      <c r="V238" s="1447"/>
      <c r="W238" s="1447"/>
      <c r="X238" s="1447"/>
      <c r="Y238" s="1447"/>
      <c r="Z238" s="1448"/>
      <c r="AA238" s="1443"/>
      <c r="AB238" s="1444"/>
      <c r="AC238" s="1444"/>
      <c r="AD238" s="1445"/>
      <c r="AE238" s="314"/>
      <c r="AF238" s="314"/>
      <c r="AG238" s="314"/>
      <c r="AH238" s="73"/>
      <c r="AI238" s="134" t="b">
        <f>AA238="○"</f>
        <v>0</v>
      </c>
      <c r="AU238" s="139"/>
      <c r="AV238" s="139"/>
      <c r="AW238" s="139"/>
      <c r="AX238" s="139"/>
    </row>
    <row r="239" spans="1:50" ht="24.95" customHeight="1">
      <c r="A239" s="1540"/>
      <c r="B239" s="1541"/>
      <c r="C239" s="1541"/>
      <c r="D239" s="1541"/>
      <c r="E239" s="1406"/>
      <c r="F239" s="1647" t="s">
        <v>501</v>
      </c>
      <c r="G239" s="1648"/>
      <c r="H239" s="1956" t="s">
        <v>589</v>
      </c>
      <c r="I239" s="1956"/>
      <c r="J239" s="1956"/>
      <c r="K239" s="1956"/>
      <c r="L239" s="1956"/>
      <c r="M239" s="1956"/>
      <c r="N239" s="1956"/>
      <c r="O239" s="1956"/>
      <c r="P239" s="1956"/>
      <c r="Q239" s="1956"/>
      <c r="R239" s="1956"/>
      <c r="S239" s="1956"/>
      <c r="T239" s="1956"/>
      <c r="U239" s="1956"/>
      <c r="V239" s="1956"/>
      <c r="W239" s="1956"/>
      <c r="X239" s="1956"/>
      <c r="Y239" s="1956"/>
      <c r="Z239" s="1957"/>
      <c r="AA239" s="1443"/>
      <c r="AB239" s="1444"/>
      <c r="AC239" s="1444"/>
      <c r="AD239" s="1445"/>
      <c r="AE239" s="314"/>
      <c r="AF239" s="314"/>
      <c r="AG239" s="314"/>
      <c r="AH239" s="73"/>
      <c r="AI239" s="134" t="b">
        <f>AA239="○"</f>
        <v>0</v>
      </c>
      <c r="AU239" s="139"/>
      <c r="AV239" s="139"/>
      <c r="AW239" s="139"/>
      <c r="AX239" s="139"/>
    </row>
    <row r="240" spans="1:50" ht="15" customHeight="1">
      <c r="A240" s="1540"/>
      <c r="B240" s="1541"/>
      <c r="C240" s="1541"/>
      <c r="D240" s="1541"/>
      <c r="E240" s="1406"/>
      <c r="F240" s="1411"/>
      <c r="G240" s="1412"/>
      <c r="H240" s="1659" t="s">
        <v>502</v>
      </c>
      <c r="I240" s="1659"/>
      <c r="J240" s="1659"/>
      <c r="K240" s="1659"/>
      <c r="L240" s="1659"/>
      <c r="M240" s="1659"/>
      <c r="N240" s="1660"/>
      <c r="O240" s="1660"/>
      <c r="P240" s="1660"/>
      <c r="Q240" s="1660"/>
      <c r="R240" s="1660"/>
      <c r="S240" s="1660"/>
      <c r="T240" s="1660"/>
      <c r="U240" s="1660"/>
      <c r="V240" s="1660"/>
      <c r="W240" s="1660"/>
      <c r="X240" s="1660"/>
      <c r="Y240" s="1660"/>
      <c r="Z240" s="1661"/>
      <c r="AA240" s="1640"/>
      <c r="AB240" s="1641"/>
      <c r="AC240" s="1641"/>
      <c r="AD240" s="1642"/>
      <c r="AE240" s="314"/>
      <c r="AF240" s="314"/>
      <c r="AG240" s="314"/>
      <c r="AH240" s="73"/>
      <c r="AI240" s="919" t="b">
        <f>N240&lt;&gt;0</f>
        <v>0</v>
      </c>
      <c r="AU240" s="139"/>
      <c r="AV240" s="139"/>
      <c r="AW240" s="139"/>
      <c r="AX240" s="139"/>
    </row>
    <row r="241" spans="1:35" ht="28.5" customHeight="1">
      <c r="A241" s="1540"/>
      <c r="B241" s="1541"/>
      <c r="C241" s="1541"/>
      <c r="D241" s="1541"/>
      <c r="E241" s="1406"/>
      <c r="F241" s="1150">
        <v>2</v>
      </c>
      <c r="G241" s="1646" t="s">
        <v>1334</v>
      </c>
      <c r="H241" s="1646"/>
      <c r="I241" s="1646"/>
      <c r="J241" s="1646"/>
      <c r="K241" s="1646"/>
      <c r="L241" s="1646"/>
      <c r="M241" s="1646"/>
      <c r="N241" s="1646"/>
      <c r="O241" s="1646"/>
      <c r="P241" s="1646"/>
      <c r="Q241" s="1646"/>
      <c r="R241" s="1646"/>
      <c r="S241" s="1646"/>
      <c r="T241" s="1646"/>
      <c r="U241" s="1646"/>
      <c r="V241" s="1646"/>
      <c r="W241" s="1646"/>
      <c r="X241" s="1646"/>
      <c r="Y241" s="1646"/>
      <c r="Z241" s="1462"/>
      <c r="AA241" s="1593" t="e">
        <f>'(別紙3)休日'!$AC$5</f>
        <v>#DIV/0!</v>
      </c>
      <c r="AB241" s="1664"/>
      <c r="AC241" s="1664"/>
      <c r="AD241" s="1629"/>
      <c r="AE241" s="314"/>
      <c r="AF241" s="314"/>
      <c r="AG241" s="314"/>
      <c r="AH241" s="73"/>
      <c r="AI241" s="134" t="e">
        <f>AA241="○"</f>
        <v>#DIV/0!</v>
      </c>
    </row>
    <row r="242" spans="1:35" ht="15" customHeight="1">
      <c r="A242" s="2122" t="s">
        <v>295</v>
      </c>
      <c r="B242" s="1664"/>
      <c r="C242" s="1664"/>
      <c r="D242" s="1664"/>
      <c r="E242" s="1629"/>
      <c r="F242" s="1713" t="s">
        <v>644</v>
      </c>
      <c r="G242" s="1714"/>
      <c r="H242" s="1714"/>
      <c r="I242" s="1714"/>
      <c r="J242" s="1714"/>
      <c r="K242" s="1714"/>
      <c r="L242" s="1714"/>
      <c r="M242" s="1714"/>
      <c r="N242" s="1714"/>
      <c r="O242" s="1714"/>
      <c r="P242" s="1714"/>
      <c r="Q242" s="1714"/>
      <c r="R242" s="1714"/>
      <c r="S242" s="1714"/>
      <c r="T242" s="1714"/>
      <c r="U242" s="1714"/>
      <c r="V242" s="1714"/>
      <c r="W242" s="1714"/>
      <c r="X242" s="1714"/>
      <c r="Y242" s="1714"/>
      <c r="Z242" s="1714"/>
      <c r="AA242" s="1714"/>
      <c r="AB242" s="1714"/>
      <c r="AC242" s="1616"/>
      <c r="AD242" s="1572"/>
      <c r="AE242" s="1573"/>
      <c r="AF242" s="1573"/>
      <c r="AG242" s="1574"/>
      <c r="AH242" s="73"/>
      <c r="AI242" s="69" t="b">
        <f>OR(AND(AI243,AI245),AND(AI244,AI245,AI246))</f>
        <v>0</v>
      </c>
    </row>
    <row r="243" spans="1:35" ht="15" customHeight="1">
      <c r="A243" s="1411"/>
      <c r="B243" s="1412"/>
      <c r="C243" s="1412"/>
      <c r="D243" s="1412"/>
      <c r="E243" s="1439"/>
      <c r="F243" s="2052">
        <v>4</v>
      </c>
      <c r="G243" s="2053"/>
      <c r="H243" s="2054">
        <v>5</v>
      </c>
      <c r="I243" s="2055"/>
      <c r="J243" s="2054">
        <v>6</v>
      </c>
      <c r="K243" s="2055"/>
      <c r="L243" s="2054">
        <v>7</v>
      </c>
      <c r="M243" s="2055"/>
      <c r="N243" s="2054">
        <v>8</v>
      </c>
      <c r="O243" s="2055"/>
      <c r="P243" s="2054">
        <v>9</v>
      </c>
      <c r="Q243" s="2055"/>
      <c r="R243" s="2054">
        <v>10</v>
      </c>
      <c r="S243" s="2055"/>
      <c r="T243" s="2054">
        <v>11</v>
      </c>
      <c r="U243" s="2055"/>
      <c r="V243" s="2054">
        <v>12</v>
      </c>
      <c r="W243" s="2055"/>
      <c r="X243" s="2054">
        <v>1</v>
      </c>
      <c r="Y243" s="2055"/>
      <c r="Z243" s="2054">
        <v>2</v>
      </c>
      <c r="AA243" s="2055"/>
      <c r="AB243" s="2054">
        <v>3</v>
      </c>
      <c r="AC243" s="2059"/>
      <c r="AD243" s="1787" t="s">
        <v>1</v>
      </c>
      <c r="AE243" s="1787"/>
      <c r="AF243" s="1787"/>
      <c r="AG243" s="1787"/>
      <c r="AH243" s="73"/>
      <c r="AI243" s="69" t="b">
        <f>AD243="○"</f>
        <v>0</v>
      </c>
    </row>
    <row r="244" spans="1:35" ht="39.950000000000003" customHeight="1">
      <c r="A244" s="2056" t="str">
        <f>IF(AD243="○","入力不要","前年度延べ利用子ども数※3、4、5（実績）")</f>
        <v>前年度延べ利用子ども数※3、4、5（実績）</v>
      </c>
      <c r="B244" s="2057"/>
      <c r="C244" s="2057"/>
      <c r="D244" s="2057"/>
      <c r="E244" s="2058"/>
      <c r="F244" s="2060"/>
      <c r="G244" s="1624"/>
      <c r="H244" s="1624"/>
      <c r="I244" s="1624"/>
      <c r="J244" s="1624"/>
      <c r="K244" s="1624"/>
      <c r="L244" s="1624"/>
      <c r="M244" s="1624"/>
      <c r="N244" s="1624"/>
      <c r="O244" s="1624"/>
      <c r="P244" s="1624"/>
      <c r="Q244" s="1624"/>
      <c r="R244" s="1624"/>
      <c r="S244" s="1624"/>
      <c r="T244" s="1624"/>
      <c r="U244" s="1624"/>
      <c r="V244" s="1624"/>
      <c r="W244" s="1624"/>
      <c r="X244" s="1624"/>
      <c r="Y244" s="1624"/>
      <c r="Z244" s="1624"/>
      <c r="AA244" s="1624"/>
      <c r="AB244" s="1624"/>
      <c r="AC244" s="1624"/>
      <c r="AD244" s="1627">
        <f>IF(AD242="○","",SUM(F244:AC244))</f>
        <v>0</v>
      </c>
      <c r="AE244" s="1627"/>
      <c r="AF244" s="1627"/>
      <c r="AG244" s="1627"/>
      <c r="AH244" s="73"/>
      <c r="AI244" s="69" t="b">
        <f>AD244&gt;0</f>
        <v>0</v>
      </c>
    </row>
    <row r="245" spans="1:35" ht="39.950000000000003" customHeight="1">
      <c r="A245" s="2051" t="s">
        <v>1585</v>
      </c>
      <c r="B245" s="2051"/>
      <c r="C245" s="2051"/>
      <c r="D245" s="2051"/>
      <c r="E245" s="2051"/>
      <c r="F245" s="1993">
        <f>F244</f>
        <v>0</v>
      </c>
      <c r="G245" s="1994"/>
      <c r="H245" s="1436">
        <f t="shared" ref="H245" si="22">H244</f>
        <v>0</v>
      </c>
      <c r="I245" s="1441"/>
      <c r="J245" s="1436">
        <f t="shared" ref="J245" si="23">J244</f>
        <v>0</v>
      </c>
      <c r="K245" s="1441"/>
      <c r="L245" s="1436">
        <f t="shared" ref="L245" si="24">L244</f>
        <v>0</v>
      </c>
      <c r="M245" s="1441"/>
      <c r="N245" s="1436">
        <f t="shared" ref="N245" si="25">N244</f>
        <v>0</v>
      </c>
      <c r="O245" s="1441"/>
      <c r="P245" s="1436">
        <f t="shared" ref="P245" si="26">P244</f>
        <v>0</v>
      </c>
      <c r="Q245" s="1441"/>
      <c r="R245" s="1436">
        <f t="shared" ref="R245" si="27">R244</f>
        <v>0</v>
      </c>
      <c r="S245" s="1441"/>
      <c r="T245" s="1436">
        <f t="shared" ref="T245" si="28">T244</f>
        <v>0</v>
      </c>
      <c r="U245" s="1441"/>
      <c r="V245" s="1436">
        <f t="shared" ref="V245" si="29">V244</f>
        <v>0</v>
      </c>
      <c r="W245" s="1441"/>
      <c r="X245" s="1436">
        <f t="shared" ref="X245" si="30">X244</f>
        <v>0</v>
      </c>
      <c r="Y245" s="1441"/>
      <c r="Z245" s="1436">
        <f t="shared" ref="Z245" si="31">Z244</f>
        <v>0</v>
      </c>
      <c r="AA245" s="1441"/>
      <c r="AB245" s="1436">
        <f>AB244</f>
        <v>0</v>
      </c>
      <c r="AC245" s="1437"/>
      <c r="AD245" s="1438">
        <f>SUM(F245:AC245)</f>
        <v>0</v>
      </c>
      <c r="AE245" s="1438"/>
      <c r="AF245" s="1438"/>
      <c r="AG245" s="1438"/>
      <c r="AH245" s="73"/>
      <c r="AI245" s="69" t="b">
        <f>AD245&gt;0</f>
        <v>0</v>
      </c>
    </row>
    <row r="246" spans="1:35" ht="39.950000000000003" customHeight="1">
      <c r="A246" s="1632" t="str">
        <f>IF(AD243="○","入力不要","実績と見込が1割以上乖離している場合はその理由を記載")</f>
        <v>実績と見込が1割以上乖離している場合はその理由を記載</v>
      </c>
      <c r="B246" s="1633"/>
      <c r="C246" s="1633"/>
      <c r="D246" s="1633"/>
      <c r="E246" s="1634"/>
      <c r="F246" s="1644"/>
      <c r="G246" s="1645"/>
      <c r="H246" s="1645"/>
      <c r="I246" s="1645"/>
      <c r="J246" s="1645"/>
      <c r="K246" s="1645"/>
      <c r="L246" s="1645"/>
      <c r="M246" s="1645"/>
      <c r="N246" s="1645"/>
      <c r="O246" s="1645"/>
      <c r="P246" s="1645"/>
      <c r="Q246" s="1645"/>
      <c r="R246" s="1645"/>
      <c r="S246" s="1645"/>
      <c r="T246" s="1645"/>
      <c r="U246" s="1645"/>
      <c r="V246" s="1645"/>
      <c r="W246" s="1645"/>
      <c r="X246" s="1645"/>
      <c r="Y246" s="1645"/>
      <c r="Z246" s="1645"/>
      <c r="AA246" s="1645"/>
      <c r="AB246" s="1645"/>
      <c r="AC246" s="1645"/>
      <c r="AD246" s="1440"/>
      <c r="AE246" s="1440"/>
      <c r="AF246" s="1440"/>
      <c r="AG246" s="1440"/>
      <c r="AH246" s="73"/>
      <c r="AI246" s="69" t="b">
        <f>OR(AND(IFERROR(ROUND((AD245/AD244-1)*100,0),0)&gt;=10,F246&lt;&gt;0),IFERROR(ROUND((AD245/AD244-1)*100,0),0)&lt;10)</f>
        <v>1</v>
      </c>
    </row>
    <row r="247" spans="1:35" ht="15" customHeight="1">
      <c r="A247" s="1593" t="s">
        <v>51</v>
      </c>
      <c r="B247" s="1680"/>
      <c r="C247" s="1680"/>
      <c r="D247" s="1680"/>
      <c r="E247" s="1629"/>
      <c r="F247" s="1752" t="s">
        <v>1363</v>
      </c>
      <c r="G247" s="1753"/>
      <c r="H247" s="1753"/>
      <c r="I247" s="1753"/>
      <c r="J247" s="1753"/>
      <c r="K247" s="1753"/>
      <c r="L247" s="1753"/>
      <c r="M247" s="1753"/>
      <c r="N247" s="1753"/>
      <c r="O247" s="1753"/>
      <c r="P247" s="1753"/>
      <c r="Q247" s="1753"/>
      <c r="R247" s="1753"/>
      <c r="S247" s="1753"/>
      <c r="T247" s="1753"/>
      <c r="U247" s="1753"/>
      <c r="V247" s="1753"/>
      <c r="W247" s="1753"/>
      <c r="X247" s="1753"/>
      <c r="Y247" s="1753"/>
      <c r="Z247" s="1753"/>
      <c r="AA247" s="1753"/>
      <c r="AB247" s="1753"/>
      <c r="AC247" s="1753"/>
      <c r="AD247" s="1753"/>
      <c r="AE247" s="1753"/>
      <c r="AF247" s="1753"/>
      <c r="AG247" s="1462"/>
      <c r="AH247" s="73"/>
    </row>
    <row r="248" spans="1:35" ht="15" customHeight="1">
      <c r="A248" s="1411"/>
      <c r="B248" s="1412"/>
      <c r="C248" s="1412"/>
      <c r="D248" s="1412"/>
      <c r="E248" s="1439"/>
      <c r="F248" s="1400" t="s">
        <v>1158</v>
      </c>
      <c r="G248" s="1401"/>
      <c r="H248" s="1401"/>
      <c r="I248" s="1401"/>
      <c r="J248" s="1401"/>
      <c r="K248" s="1401"/>
      <c r="L248" s="1401"/>
      <c r="M248" s="1401"/>
      <c r="N248" s="1401"/>
      <c r="O248" s="1401"/>
      <c r="P248" s="1401"/>
      <c r="Q248" s="1401"/>
      <c r="R248" s="1401"/>
      <c r="S248" s="1401"/>
      <c r="T248" s="1401"/>
      <c r="U248" s="1401"/>
      <c r="V248" s="1401"/>
      <c r="W248" s="1401"/>
      <c r="X248" s="1401"/>
      <c r="Y248" s="1401"/>
      <c r="Z248" s="1401"/>
      <c r="AA248" s="1401"/>
      <c r="AB248" s="1401"/>
      <c r="AC248" s="1401"/>
      <c r="AD248" s="1401"/>
      <c r="AE248" s="1401"/>
      <c r="AF248" s="1401"/>
      <c r="AG248" s="1402"/>
      <c r="AH248" s="73"/>
    </row>
    <row r="249" spans="1:35" ht="39.950000000000003" customHeight="1">
      <c r="A249" s="1429" t="s">
        <v>590</v>
      </c>
      <c r="B249" s="1429"/>
      <c r="C249" s="1429"/>
      <c r="D249" s="1429"/>
      <c r="E249" s="1429"/>
      <c r="F249" s="1429"/>
      <c r="G249" s="1429"/>
      <c r="H249" s="1429"/>
      <c r="I249" s="1429"/>
      <c r="J249" s="1429"/>
      <c r="K249" s="1429"/>
      <c r="L249" s="1429"/>
      <c r="M249" s="1429"/>
      <c r="N249" s="1429"/>
      <c r="O249" s="1429"/>
      <c r="P249" s="1429"/>
      <c r="Q249" s="1429"/>
      <c r="R249" s="1429"/>
      <c r="S249" s="1429"/>
      <c r="T249" s="1429"/>
      <c r="U249" s="1429"/>
      <c r="V249" s="1429"/>
      <c r="W249" s="1429"/>
      <c r="X249" s="1429"/>
      <c r="Y249" s="1429"/>
      <c r="Z249" s="1429"/>
      <c r="AA249" s="1429"/>
      <c r="AB249" s="1429"/>
      <c r="AC249" s="1429"/>
      <c r="AD249" s="1429"/>
      <c r="AE249" s="1429"/>
      <c r="AF249" s="1429"/>
      <c r="AG249" s="1429"/>
      <c r="AH249" s="73"/>
    </row>
    <row r="250" spans="1:35" ht="15" customHeight="1">
      <c r="A250" s="1429" t="s">
        <v>1036</v>
      </c>
      <c r="B250" s="1429"/>
      <c r="C250" s="1429"/>
      <c r="D250" s="1429"/>
      <c r="E250" s="1429"/>
      <c r="F250" s="1429"/>
      <c r="G250" s="1429"/>
      <c r="H250" s="1429"/>
      <c r="I250" s="1429"/>
      <c r="J250" s="1429"/>
      <c r="K250" s="1429"/>
      <c r="L250" s="1429"/>
      <c r="M250" s="1429"/>
      <c r="N250" s="1429"/>
      <c r="O250" s="1429"/>
      <c r="P250" s="1429"/>
      <c r="Q250" s="1429"/>
      <c r="R250" s="1429"/>
      <c r="S250" s="1429"/>
      <c r="T250" s="1429"/>
      <c r="U250" s="1429"/>
      <c r="V250" s="1429"/>
      <c r="W250" s="1429"/>
      <c r="X250" s="1429"/>
      <c r="Y250" s="1429"/>
      <c r="Z250" s="1429"/>
      <c r="AA250" s="1429"/>
      <c r="AB250" s="1429"/>
      <c r="AC250" s="1429"/>
      <c r="AD250" s="1429"/>
      <c r="AE250" s="1429"/>
      <c r="AF250" s="1429"/>
      <c r="AG250" s="1429"/>
      <c r="AH250" s="73"/>
    </row>
    <row r="251" spans="1:35">
      <c r="A251" s="1579" t="s">
        <v>1037</v>
      </c>
      <c r="B251" s="1579"/>
      <c r="C251" s="1579"/>
      <c r="D251" s="1579"/>
      <c r="E251" s="1579"/>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1579"/>
      <c r="AD251" s="1579"/>
      <c r="AE251" s="1579"/>
      <c r="AF251" s="1579"/>
      <c r="AG251" s="1579"/>
      <c r="AH251" s="73"/>
    </row>
    <row r="252" spans="1:35" ht="28.5" customHeight="1">
      <c r="A252" s="1429" t="s">
        <v>1038</v>
      </c>
      <c r="B252" s="1429"/>
      <c r="C252" s="1429"/>
      <c r="D252" s="1429"/>
      <c r="E252" s="1429"/>
      <c r="F252" s="1429"/>
      <c r="G252" s="1429"/>
      <c r="H252" s="1429"/>
      <c r="I252" s="1429"/>
      <c r="J252" s="1429"/>
      <c r="K252" s="1429"/>
      <c r="L252" s="1429"/>
      <c r="M252" s="1429"/>
      <c r="N252" s="1429"/>
      <c r="O252" s="1429"/>
      <c r="P252" s="1429"/>
      <c r="Q252" s="1429"/>
      <c r="R252" s="1429"/>
      <c r="S252" s="1429"/>
      <c r="T252" s="1429"/>
      <c r="U252" s="1429"/>
      <c r="V252" s="1429"/>
      <c r="W252" s="1429"/>
      <c r="X252" s="1429"/>
      <c r="Y252" s="1429"/>
      <c r="Z252" s="1429"/>
      <c r="AA252" s="1429"/>
      <c r="AB252" s="1429"/>
      <c r="AC252" s="1429"/>
      <c r="AD252" s="1429"/>
      <c r="AE252" s="1429"/>
      <c r="AF252" s="1429"/>
      <c r="AG252" s="1429"/>
      <c r="AH252" s="73"/>
    </row>
    <row r="253" spans="1:35" ht="18.75" customHeight="1">
      <c r="A253" s="1429" t="s">
        <v>1039</v>
      </c>
      <c r="B253" s="1429"/>
      <c r="C253" s="1429"/>
      <c r="D253" s="1429"/>
      <c r="E253" s="1429"/>
      <c r="F253" s="1429"/>
      <c r="G253" s="1429"/>
      <c r="H253" s="1429"/>
      <c r="I253" s="1429"/>
      <c r="J253" s="1429"/>
      <c r="K253" s="1429"/>
      <c r="L253" s="1429"/>
      <c r="M253" s="1429"/>
      <c r="N253" s="1429"/>
      <c r="O253" s="1429"/>
      <c r="P253" s="1429"/>
      <c r="Q253" s="1429"/>
      <c r="R253" s="1429"/>
      <c r="S253" s="1429"/>
      <c r="T253" s="1429"/>
      <c r="U253" s="1429"/>
      <c r="V253" s="1429"/>
      <c r="W253" s="1429"/>
      <c r="X253" s="1429"/>
      <c r="Y253" s="1429"/>
      <c r="Z253" s="1429"/>
      <c r="AA253" s="1429"/>
      <c r="AB253" s="1429"/>
      <c r="AC253" s="1429"/>
      <c r="AD253" s="1429"/>
      <c r="AE253" s="1429"/>
      <c r="AF253" s="1429"/>
      <c r="AG253" s="1429"/>
      <c r="AH253" s="73"/>
    </row>
    <row r="254" spans="1:35" ht="28.5" customHeight="1">
      <c r="A254" s="1429" t="s">
        <v>1335</v>
      </c>
      <c r="B254" s="1429"/>
      <c r="C254" s="1429"/>
      <c r="D254" s="1429"/>
      <c r="E254" s="1429"/>
      <c r="F254" s="1429"/>
      <c r="G254" s="1429"/>
      <c r="H254" s="1429"/>
      <c r="I254" s="1429"/>
      <c r="J254" s="1429"/>
      <c r="K254" s="1429"/>
      <c r="L254" s="1429"/>
      <c r="M254" s="1429"/>
      <c r="N254" s="1429"/>
      <c r="O254" s="1429"/>
      <c r="P254" s="1429"/>
      <c r="Q254" s="1429"/>
      <c r="R254" s="1429"/>
      <c r="S254" s="1429"/>
      <c r="T254" s="1429"/>
      <c r="U254" s="1429"/>
      <c r="V254" s="1429"/>
      <c r="W254" s="1429"/>
      <c r="X254" s="1429"/>
      <c r="Y254" s="1429"/>
      <c r="Z254" s="1429"/>
      <c r="AA254" s="1429"/>
      <c r="AB254" s="1429"/>
      <c r="AC254" s="1429"/>
      <c r="AD254" s="1429"/>
      <c r="AE254" s="1429"/>
      <c r="AF254" s="1429"/>
      <c r="AG254" s="1429"/>
      <c r="AH254" s="73"/>
    </row>
    <row r="255" spans="1:35" ht="15" customHeight="1" thickBot="1">
      <c r="A255" s="926"/>
      <c r="B255" s="926"/>
      <c r="C255" s="926"/>
      <c r="D255" s="926"/>
      <c r="E255" s="926"/>
      <c r="F255" s="926"/>
      <c r="G255" s="926"/>
      <c r="H255" s="926"/>
      <c r="I255" s="926"/>
      <c r="J255" s="926"/>
      <c r="K255" s="926"/>
      <c r="L255" s="926"/>
      <c r="M255" s="926"/>
      <c r="N255" s="926"/>
      <c r="O255" s="926"/>
      <c r="P255" s="926"/>
      <c r="Q255" s="926"/>
      <c r="R255" s="926"/>
      <c r="S255" s="926"/>
      <c r="T255" s="926"/>
      <c r="U255" s="926"/>
      <c r="V255" s="926"/>
      <c r="W255" s="926"/>
      <c r="X255" s="926"/>
      <c r="Y255" s="926"/>
      <c r="Z255" s="926"/>
      <c r="AA255" s="926"/>
      <c r="AB255" s="926"/>
      <c r="AC255" s="926"/>
      <c r="AD255" s="926"/>
      <c r="AE255" s="926"/>
      <c r="AF255" s="314"/>
      <c r="AG255" s="314"/>
    </row>
    <row r="256" spans="1:35" ht="15" customHeight="1" thickBot="1">
      <c r="A256" s="1442" t="s">
        <v>1616</v>
      </c>
      <c r="B256" s="1442"/>
      <c r="C256" s="1442"/>
      <c r="D256" s="1442"/>
      <c r="E256" s="1442"/>
      <c r="F256" s="1442"/>
      <c r="G256" s="1442"/>
      <c r="H256" s="1442"/>
      <c r="I256" s="1442"/>
      <c r="J256" s="1496" t="str">
        <f>IF(AND(AI257,AI259,AI260,OR(AI261,AI262),AI266),"○","×")</f>
        <v>×</v>
      </c>
      <c r="K256" s="1497"/>
      <c r="L256" s="1497"/>
      <c r="M256" s="1497"/>
      <c r="N256" s="1498"/>
      <c r="O256" s="1538" t="s">
        <v>268</v>
      </c>
      <c r="P256" s="1539"/>
      <c r="Q256" s="1539"/>
      <c r="R256" s="314"/>
      <c r="S256" s="314"/>
      <c r="T256" s="314"/>
      <c r="U256" s="314"/>
      <c r="V256" s="314"/>
      <c r="W256" s="314"/>
      <c r="X256" s="314"/>
      <c r="Y256" s="314"/>
      <c r="Z256" s="314"/>
      <c r="AA256" s="314"/>
      <c r="AB256" s="314"/>
      <c r="AC256" s="314"/>
      <c r="AD256" s="314"/>
      <c r="AE256" s="314"/>
      <c r="AF256" s="314"/>
      <c r="AG256" s="314"/>
    </row>
    <row r="257" spans="1:35" ht="15" customHeight="1">
      <c r="A257" s="1466" t="s">
        <v>121</v>
      </c>
      <c r="B257" s="1466"/>
      <c r="C257" s="1466"/>
      <c r="D257" s="1466"/>
      <c r="E257" s="1466"/>
      <c r="F257" s="1635"/>
      <c r="G257" s="1635"/>
      <c r="H257" s="1635"/>
      <c r="I257" s="1635"/>
      <c r="J257" s="1636"/>
      <c r="K257" s="1636"/>
      <c r="L257" s="314"/>
      <c r="M257" s="314"/>
      <c r="N257" s="314"/>
      <c r="O257" s="314"/>
      <c r="P257" s="314"/>
      <c r="Q257" s="314"/>
      <c r="R257" s="314"/>
      <c r="S257" s="314"/>
      <c r="T257" s="314"/>
      <c r="U257" s="314"/>
      <c r="V257" s="314"/>
      <c r="W257" s="314"/>
      <c r="X257" s="314"/>
      <c r="Y257" s="314"/>
      <c r="Z257" s="314"/>
      <c r="AA257" s="314"/>
      <c r="AB257" s="314"/>
      <c r="AC257" s="314"/>
      <c r="AD257" s="314"/>
      <c r="AE257" s="314"/>
      <c r="AF257" s="314"/>
      <c r="AG257" s="314"/>
      <c r="AI257" s="134" t="b">
        <f>F257="申請する"</f>
        <v>0</v>
      </c>
    </row>
    <row r="258" spans="1:35" ht="15" customHeight="1">
      <c r="A258" s="1637" t="s">
        <v>296</v>
      </c>
      <c r="B258" s="1638"/>
      <c r="C258" s="1638"/>
      <c r="D258" s="1638"/>
      <c r="E258" s="1638"/>
      <c r="F258" s="1714" t="s">
        <v>103</v>
      </c>
      <c r="G258" s="1714"/>
      <c r="H258" s="1714"/>
      <c r="I258" s="1714"/>
      <c r="J258" s="1714"/>
      <c r="K258" s="1714"/>
      <c r="L258" s="1714"/>
      <c r="M258" s="1714"/>
      <c r="N258" s="1714"/>
      <c r="O258" s="1714"/>
      <c r="P258" s="1714"/>
      <c r="Q258" s="1714"/>
      <c r="R258" s="1714"/>
      <c r="S258" s="1714"/>
      <c r="T258" s="1714"/>
      <c r="U258" s="1714"/>
      <c r="V258" s="1714"/>
      <c r="W258" s="1714"/>
      <c r="X258" s="1714"/>
      <c r="Y258" s="1714"/>
      <c r="Z258" s="1528"/>
      <c r="AA258" s="1713" t="s">
        <v>269</v>
      </c>
      <c r="AB258" s="1714"/>
      <c r="AC258" s="1714"/>
      <c r="AD258" s="1528"/>
      <c r="AE258" s="314"/>
      <c r="AF258" s="314"/>
      <c r="AG258" s="314"/>
      <c r="AH258" s="73"/>
    </row>
    <row r="259" spans="1:35" ht="39.950000000000003" customHeight="1">
      <c r="A259" s="1540"/>
      <c r="B259" s="1541"/>
      <c r="C259" s="1541"/>
      <c r="D259" s="1541"/>
      <c r="E259" s="1541"/>
      <c r="F259" s="934">
        <v>1</v>
      </c>
      <c r="G259" s="1515" t="s">
        <v>583</v>
      </c>
      <c r="H259" s="1515"/>
      <c r="I259" s="1515"/>
      <c r="J259" s="1515"/>
      <c r="K259" s="1515"/>
      <c r="L259" s="1515"/>
      <c r="M259" s="1515"/>
      <c r="N259" s="1515"/>
      <c r="O259" s="1515"/>
      <c r="P259" s="1515"/>
      <c r="Q259" s="1515"/>
      <c r="R259" s="1515"/>
      <c r="S259" s="1515"/>
      <c r="T259" s="1515"/>
      <c r="U259" s="1515"/>
      <c r="V259" s="1515"/>
      <c r="W259" s="1515"/>
      <c r="X259" s="1515"/>
      <c r="Y259" s="1515"/>
      <c r="Z259" s="1462"/>
      <c r="AA259" s="1417"/>
      <c r="AB259" s="1639"/>
      <c r="AC259" s="1639"/>
      <c r="AD259" s="1418"/>
      <c r="AE259" s="314"/>
      <c r="AF259" s="314"/>
      <c r="AG259" s="314"/>
      <c r="AH259" s="73"/>
      <c r="AI259" s="134" t="b">
        <f t="shared" ref="AI259:AI266" si="32">AA259="○"</f>
        <v>0</v>
      </c>
    </row>
    <row r="260" spans="1:35" ht="24.95" customHeight="1">
      <c r="A260" s="1540"/>
      <c r="B260" s="1541"/>
      <c r="C260" s="1541"/>
      <c r="D260" s="1541"/>
      <c r="E260" s="1541"/>
      <c r="F260" s="934">
        <v>2</v>
      </c>
      <c r="G260" s="1515" t="s">
        <v>535</v>
      </c>
      <c r="H260" s="1515"/>
      <c r="I260" s="1515"/>
      <c r="J260" s="1515"/>
      <c r="K260" s="1515"/>
      <c r="L260" s="1515"/>
      <c r="M260" s="1515"/>
      <c r="N260" s="1515"/>
      <c r="O260" s="1515"/>
      <c r="P260" s="1515"/>
      <c r="Q260" s="1515"/>
      <c r="R260" s="1515"/>
      <c r="S260" s="1515"/>
      <c r="T260" s="1515"/>
      <c r="U260" s="1515"/>
      <c r="V260" s="1515"/>
      <c r="W260" s="1515"/>
      <c r="X260" s="1515"/>
      <c r="Y260" s="1515"/>
      <c r="Z260" s="1462"/>
      <c r="AA260" s="1417"/>
      <c r="AB260" s="1639"/>
      <c r="AC260" s="1639"/>
      <c r="AD260" s="1418"/>
      <c r="AE260" s="314"/>
      <c r="AF260" s="314"/>
      <c r="AG260" s="314"/>
      <c r="AH260" s="73"/>
      <c r="AI260" s="134" t="b">
        <f t="shared" si="32"/>
        <v>0</v>
      </c>
    </row>
    <row r="261" spans="1:35" ht="24.95" customHeight="1">
      <c r="A261" s="1540"/>
      <c r="B261" s="1541"/>
      <c r="C261" s="1541"/>
      <c r="D261" s="1541"/>
      <c r="E261" s="1541"/>
      <c r="F261" s="927">
        <v>3</v>
      </c>
      <c r="G261" s="1515" t="s">
        <v>534</v>
      </c>
      <c r="H261" s="1515"/>
      <c r="I261" s="1515"/>
      <c r="J261" s="1798"/>
      <c r="K261" s="1798"/>
      <c r="L261" s="1798"/>
      <c r="M261" s="1798"/>
      <c r="N261" s="1798"/>
      <c r="O261" s="1798"/>
      <c r="P261" s="1798"/>
      <c r="Q261" s="1798"/>
      <c r="R261" s="1798"/>
      <c r="S261" s="1798"/>
      <c r="T261" s="1798"/>
      <c r="U261" s="1798"/>
      <c r="V261" s="1798"/>
      <c r="W261" s="1798"/>
      <c r="X261" s="1798"/>
      <c r="Y261" s="1798"/>
      <c r="Z261" s="1799"/>
      <c r="AA261" s="1463"/>
      <c r="AB261" s="1464"/>
      <c r="AC261" s="1464"/>
      <c r="AD261" s="1465"/>
      <c r="AE261" s="314"/>
      <c r="AF261" s="314"/>
      <c r="AG261" s="314"/>
      <c r="AH261" s="73"/>
      <c r="AI261" s="134" t="b">
        <f t="shared" si="32"/>
        <v>0</v>
      </c>
    </row>
    <row r="262" spans="1:35" ht="50.1" customHeight="1">
      <c r="A262" s="1540"/>
      <c r="B262" s="1541"/>
      <c r="C262" s="1541"/>
      <c r="D262" s="1541"/>
      <c r="E262" s="1541"/>
      <c r="F262" s="2011" t="s">
        <v>145</v>
      </c>
      <c r="G262" s="1956"/>
      <c r="H262" s="1956"/>
      <c r="I262" s="1956"/>
      <c r="J262" s="1446" t="s">
        <v>533</v>
      </c>
      <c r="K262" s="1447"/>
      <c r="L262" s="1447"/>
      <c r="M262" s="1447"/>
      <c r="N262" s="1447"/>
      <c r="O262" s="1447"/>
      <c r="P262" s="1447"/>
      <c r="Q262" s="1447"/>
      <c r="R262" s="1447"/>
      <c r="S262" s="1447"/>
      <c r="T262" s="1447"/>
      <c r="U262" s="1447"/>
      <c r="V262" s="1447"/>
      <c r="W262" s="1447"/>
      <c r="X262" s="1447"/>
      <c r="Y262" s="1447"/>
      <c r="Z262" s="1448"/>
      <c r="AA262" s="1995" t="str">
        <f>IF(AA261="×",IF(AND(AI263,AI264,AI265),"○","×"),"")</f>
        <v/>
      </c>
      <c r="AB262" s="1996"/>
      <c r="AC262" s="1996"/>
      <c r="AD262" s="1997"/>
      <c r="AE262" s="314"/>
      <c r="AF262" s="314"/>
      <c r="AG262" s="314"/>
      <c r="AH262" s="73"/>
      <c r="AI262" s="134" t="b">
        <f t="shared" si="32"/>
        <v>0</v>
      </c>
    </row>
    <row r="263" spans="1:35" ht="24.95" customHeight="1">
      <c r="A263" s="1540"/>
      <c r="B263" s="1541"/>
      <c r="C263" s="1541"/>
      <c r="D263" s="1541"/>
      <c r="E263" s="1541"/>
      <c r="F263" s="1569"/>
      <c r="G263" s="1429"/>
      <c r="H263" s="1429"/>
      <c r="I263" s="1429"/>
      <c r="J263" s="686" t="s">
        <v>297</v>
      </c>
      <c r="K263" s="1429" t="s">
        <v>298</v>
      </c>
      <c r="L263" s="1429"/>
      <c r="M263" s="1429"/>
      <c r="N263" s="1429"/>
      <c r="O263" s="1429"/>
      <c r="P263" s="1429"/>
      <c r="Q263" s="1429"/>
      <c r="R263" s="1429"/>
      <c r="S263" s="1429"/>
      <c r="T263" s="1429"/>
      <c r="U263" s="1429"/>
      <c r="V263" s="1429"/>
      <c r="W263" s="1429"/>
      <c r="X263" s="1429"/>
      <c r="Y263" s="1429"/>
      <c r="Z263" s="1570"/>
      <c r="AA263" s="1463"/>
      <c r="AB263" s="1464"/>
      <c r="AC263" s="1464"/>
      <c r="AD263" s="1465"/>
      <c r="AE263" s="314"/>
      <c r="AF263" s="314"/>
      <c r="AG263" s="314"/>
      <c r="AH263" s="73"/>
      <c r="AI263" s="134" t="b">
        <f t="shared" si="32"/>
        <v>0</v>
      </c>
    </row>
    <row r="264" spans="1:35" ht="24.95" customHeight="1">
      <c r="A264" s="1540"/>
      <c r="B264" s="1541"/>
      <c r="C264" s="1541"/>
      <c r="D264" s="1541"/>
      <c r="E264" s="1541"/>
      <c r="F264" s="1569"/>
      <c r="G264" s="1429"/>
      <c r="H264" s="1429"/>
      <c r="I264" s="1429"/>
      <c r="J264" s="687" t="s">
        <v>299</v>
      </c>
      <c r="K264" s="1956" t="s">
        <v>146</v>
      </c>
      <c r="L264" s="1956"/>
      <c r="M264" s="1956"/>
      <c r="N264" s="1956"/>
      <c r="O264" s="1956"/>
      <c r="P264" s="1956"/>
      <c r="Q264" s="1956"/>
      <c r="R264" s="1956"/>
      <c r="S264" s="1956"/>
      <c r="T264" s="1956"/>
      <c r="U264" s="1956"/>
      <c r="V264" s="1956"/>
      <c r="W264" s="1956"/>
      <c r="X264" s="1956"/>
      <c r="Y264" s="1956"/>
      <c r="Z264" s="1957"/>
      <c r="AA264" s="1854"/>
      <c r="AB264" s="1855"/>
      <c r="AC264" s="1855"/>
      <c r="AD264" s="1856"/>
      <c r="AE264" s="314"/>
      <c r="AF264" s="314"/>
      <c r="AG264" s="314"/>
      <c r="AH264" s="73"/>
      <c r="AI264" s="134" t="b">
        <f t="shared" si="32"/>
        <v>0</v>
      </c>
    </row>
    <row r="265" spans="1:35" ht="53.1" customHeight="1">
      <c r="A265" s="1540"/>
      <c r="B265" s="1541"/>
      <c r="C265" s="1541"/>
      <c r="D265" s="1541"/>
      <c r="E265" s="1541"/>
      <c r="F265" s="1400"/>
      <c r="G265" s="1401"/>
      <c r="H265" s="1401"/>
      <c r="I265" s="1401"/>
      <c r="J265" s="688" t="s">
        <v>300</v>
      </c>
      <c r="K265" s="1456" t="s">
        <v>532</v>
      </c>
      <c r="L265" s="1456"/>
      <c r="M265" s="1456"/>
      <c r="N265" s="1456"/>
      <c r="O265" s="1456"/>
      <c r="P265" s="1456"/>
      <c r="Q265" s="1456"/>
      <c r="R265" s="1456"/>
      <c r="S265" s="1456"/>
      <c r="T265" s="1456"/>
      <c r="U265" s="1456"/>
      <c r="V265" s="1456"/>
      <c r="W265" s="1456"/>
      <c r="X265" s="1456"/>
      <c r="Y265" s="1456"/>
      <c r="Z265" s="1457"/>
      <c r="AA265" s="1640"/>
      <c r="AB265" s="1641"/>
      <c r="AC265" s="1641"/>
      <c r="AD265" s="1642"/>
      <c r="AE265" s="314"/>
      <c r="AF265" s="314"/>
      <c r="AG265" s="314"/>
      <c r="AH265" s="73"/>
      <c r="AI265" s="134" t="b">
        <f t="shared" si="32"/>
        <v>0</v>
      </c>
    </row>
    <row r="266" spans="1:35" ht="24.95" customHeight="1">
      <c r="A266" s="1542"/>
      <c r="B266" s="1407"/>
      <c r="C266" s="1407"/>
      <c r="D266" s="1407"/>
      <c r="E266" s="1407"/>
      <c r="F266" s="918">
        <v>4</v>
      </c>
      <c r="G266" s="1468" t="s">
        <v>301</v>
      </c>
      <c r="H266" s="1468"/>
      <c r="I266" s="1468"/>
      <c r="J266" s="1468"/>
      <c r="K266" s="1468"/>
      <c r="L266" s="1468"/>
      <c r="M266" s="1468"/>
      <c r="N266" s="1468"/>
      <c r="O266" s="1468"/>
      <c r="P266" s="1468"/>
      <c r="Q266" s="1468"/>
      <c r="R266" s="1468"/>
      <c r="S266" s="1468"/>
      <c r="T266" s="1468"/>
      <c r="U266" s="1468"/>
      <c r="V266" s="1468"/>
      <c r="W266" s="1468"/>
      <c r="X266" s="1468"/>
      <c r="Y266" s="1468"/>
      <c r="Z266" s="1568"/>
      <c r="AA266" s="1411" t="str">
        <f>IF(J271="○","×","○")</f>
        <v>○</v>
      </c>
      <c r="AB266" s="1412"/>
      <c r="AC266" s="1412"/>
      <c r="AD266" s="1439"/>
      <c r="AE266" s="314"/>
      <c r="AF266" s="314"/>
      <c r="AG266" s="314"/>
      <c r="AH266" s="73"/>
      <c r="AI266" s="134" t="b">
        <f t="shared" si="32"/>
        <v>1</v>
      </c>
    </row>
    <row r="267" spans="1:35" ht="15" customHeight="1">
      <c r="A267" s="1593" t="s">
        <v>51</v>
      </c>
      <c r="B267" s="1594"/>
      <c r="C267" s="1594"/>
      <c r="D267" s="1594"/>
      <c r="E267" s="1629"/>
      <c r="F267" s="1752" t="s">
        <v>1042</v>
      </c>
      <c r="G267" s="1753"/>
      <c r="H267" s="1753"/>
      <c r="I267" s="1753"/>
      <c r="J267" s="1753"/>
      <c r="K267" s="1753"/>
      <c r="L267" s="1753"/>
      <c r="M267" s="1753"/>
      <c r="N267" s="1753"/>
      <c r="O267" s="1753"/>
      <c r="P267" s="1753"/>
      <c r="Q267" s="1753"/>
      <c r="R267" s="1753"/>
      <c r="S267" s="1753"/>
      <c r="T267" s="1753"/>
      <c r="U267" s="1753"/>
      <c r="V267" s="1753"/>
      <c r="W267" s="1753"/>
      <c r="X267" s="1753"/>
      <c r="Y267" s="1753"/>
      <c r="Z267" s="1753"/>
      <c r="AA267" s="1753"/>
      <c r="AB267" s="1753"/>
      <c r="AC267" s="1753"/>
      <c r="AD267" s="1462"/>
      <c r="AE267" s="314"/>
      <c r="AF267" s="314"/>
      <c r="AG267" s="314"/>
      <c r="AH267" s="73"/>
    </row>
    <row r="268" spans="1:35" ht="28.5" customHeight="1">
      <c r="A268" s="1630"/>
      <c r="B268" s="1539"/>
      <c r="C268" s="1539"/>
      <c r="D268" s="1539"/>
      <c r="E268" s="1631"/>
      <c r="F268" s="1569" t="s">
        <v>1364</v>
      </c>
      <c r="G268" s="1429"/>
      <c r="H268" s="1429"/>
      <c r="I268" s="1429"/>
      <c r="J268" s="1429"/>
      <c r="K268" s="1429"/>
      <c r="L268" s="1429"/>
      <c r="M268" s="1429"/>
      <c r="N268" s="1429"/>
      <c r="O268" s="1429"/>
      <c r="P268" s="1429"/>
      <c r="Q268" s="1429"/>
      <c r="R268" s="1429"/>
      <c r="S268" s="1429"/>
      <c r="T268" s="1429"/>
      <c r="U268" s="1429"/>
      <c r="V268" s="1429"/>
      <c r="W268" s="1429"/>
      <c r="X268" s="1429"/>
      <c r="Y268" s="1429"/>
      <c r="Z268" s="1429"/>
      <c r="AA268" s="1429"/>
      <c r="AB268" s="1429"/>
      <c r="AC268" s="1429"/>
      <c r="AD268" s="1570"/>
      <c r="AE268" s="314"/>
      <c r="AF268" s="314"/>
      <c r="AG268" s="314"/>
      <c r="AH268" s="73"/>
    </row>
    <row r="269" spans="1:35" ht="15" customHeight="1">
      <c r="A269" s="1411"/>
      <c r="B269" s="1412"/>
      <c r="C269" s="1412"/>
      <c r="D269" s="1412"/>
      <c r="E269" s="1439"/>
      <c r="F269" s="1400" t="s">
        <v>1365</v>
      </c>
      <c r="G269" s="1401"/>
      <c r="H269" s="1401"/>
      <c r="I269" s="1401"/>
      <c r="J269" s="1401"/>
      <c r="K269" s="1401"/>
      <c r="L269" s="1401"/>
      <c r="M269" s="1401"/>
      <c r="N269" s="1401"/>
      <c r="O269" s="1401"/>
      <c r="P269" s="1401"/>
      <c r="Q269" s="1401"/>
      <c r="R269" s="1401"/>
      <c r="S269" s="1401"/>
      <c r="T269" s="1401"/>
      <c r="U269" s="1401"/>
      <c r="V269" s="1401"/>
      <c r="W269" s="1401"/>
      <c r="X269" s="1401"/>
      <c r="Y269" s="1401"/>
      <c r="Z269" s="1401"/>
      <c r="AA269" s="1401"/>
      <c r="AB269" s="1401"/>
      <c r="AC269" s="1401"/>
      <c r="AD269" s="1402"/>
      <c r="AE269" s="314"/>
      <c r="AF269" s="314"/>
      <c r="AG269" s="314"/>
      <c r="AH269" s="73"/>
    </row>
    <row r="270" spans="1:35" ht="15" customHeight="1" thickBot="1">
      <c r="A270" s="314"/>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c r="AA270" s="314"/>
      <c r="AB270" s="314"/>
      <c r="AC270" s="314"/>
      <c r="AD270" s="314"/>
      <c r="AE270" s="314"/>
      <c r="AF270" s="314"/>
      <c r="AG270" s="314"/>
    </row>
    <row r="271" spans="1:35" ht="15" customHeight="1" thickBot="1">
      <c r="A271" s="1442" t="s">
        <v>1617</v>
      </c>
      <c r="B271" s="1442"/>
      <c r="C271" s="1442"/>
      <c r="D271" s="1442"/>
      <c r="E271" s="1442"/>
      <c r="F271" s="1442"/>
      <c r="G271" s="1442"/>
      <c r="H271" s="1442"/>
      <c r="I271" s="1442"/>
      <c r="J271" s="1496" t="str">
        <f>IF(AND(AI272,AI274,AI275,AI276),"○","×")</f>
        <v>×</v>
      </c>
      <c r="K271" s="1497"/>
      <c r="L271" s="1497"/>
      <c r="M271" s="1497"/>
      <c r="N271" s="1498"/>
      <c r="O271" s="1538" t="s">
        <v>268</v>
      </c>
      <c r="P271" s="1539"/>
      <c r="Q271" s="1539"/>
      <c r="R271" s="314"/>
      <c r="S271" s="314"/>
      <c r="T271" s="314"/>
      <c r="U271" s="314"/>
      <c r="V271" s="314"/>
      <c r="W271" s="314"/>
      <c r="X271" s="314"/>
      <c r="Y271" s="314"/>
      <c r="Z271" s="314"/>
      <c r="AA271" s="314"/>
      <c r="AB271" s="314"/>
      <c r="AC271" s="314"/>
      <c r="AD271" s="314"/>
      <c r="AE271" s="314"/>
      <c r="AF271" s="314"/>
      <c r="AG271" s="314"/>
    </row>
    <row r="272" spans="1:35" ht="15" customHeight="1">
      <c r="A272" s="1466" t="s">
        <v>121</v>
      </c>
      <c r="B272" s="1466"/>
      <c r="C272" s="1466"/>
      <c r="D272" s="1466"/>
      <c r="E272" s="1466"/>
      <c r="F272" s="1635"/>
      <c r="G272" s="1635"/>
      <c r="H272" s="1635"/>
      <c r="I272" s="1635"/>
      <c r="J272" s="1636"/>
      <c r="K272" s="1636"/>
      <c r="L272" s="314"/>
      <c r="M272" s="314"/>
      <c r="N272" s="314"/>
      <c r="O272" s="314"/>
      <c r="P272" s="314"/>
      <c r="Q272" s="314"/>
      <c r="R272" s="314"/>
      <c r="S272" s="314"/>
      <c r="T272" s="314"/>
      <c r="U272" s="314"/>
      <c r="V272" s="921"/>
      <c r="W272" s="921"/>
      <c r="X272" s="921"/>
      <c r="Y272" s="921"/>
      <c r="Z272" s="921"/>
      <c r="AA272" s="921"/>
      <c r="AB272" s="921"/>
      <c r="AC272" s="921"/>
      <c r="AD272" s="921"/>
      <c r="AE272" s="314"/>
      <c r="AF272" s="314"/>
      <c r="AG272" s="314"/>
      <c r="AH272" s="73"/>
      <c r="AI272" s="134" t="b">
        <f>F272="申請する"</f>
        <v>0</v>
      </c>
    </row>
    <row r="273" spans="1:62" ht="15" customHeight="1">
      <c r="A273" s="1637" t="s">
        <v>483</v>
      </c>
      <c r="B273" s="1638"/>
      <c r="C273" s="1638"/>
      <c r="D273" s="1638"/>
      <c r="E273" s="1638"/>
      <c r="F273" s="1714" t="s">
        <v>103</v>
      </c>
      <c r="G273" s="1714"/>
      <c r="H273" s="1714"/>
      <c r="I273" s="1714"/>
      <c r="J273" s="1714"/>
      <c r="K273" s="1714"/>
      <c r="L273" s="1714"/>
      <c r="M273" s="1714"/>
      <c r="N273" s="1714"/>
      <c r="O273" s="1714"/>
      <c r="P273" s="1714"/>
      <c r="Q273" s="1714"/>
      <c r="R273" s="1714"/>
      <c r="S273" s="1714"/>
      <c r="T273" s="1714"/>
      <c r="U273" s="1714"/>
      <c r="V273" s="1714"/>
      <c r="W273" s="1714"/>
      <c r="X273" s="1714"/>
      <c r="Y273" s="1714"/>
      <c r="Z273" s="1528"/>
      <c r="AA273" s="1713" t="s">
        <v>269</v>
      </c>
      <c r="AB273" s="1714"/>
      <c r="AC273" s="1714"/>
      <c r="AD273" s="1528"/>
      <c r="AE273" s="314"/>
      <c r="AF273" s="314"/>
      <c r="AG273" s="314"/>
      <c r="AH273" s="73"/>
    </row>
    <row r="274" spans="1:62" ht="39.950000000000003" customHeight="1">
      <c r="A274" s="1540"/>
      <c r="B274" s="1541"/>
      <c r="C274" s="1541"/>
      <c r="D274" s="1541"/>
      <c r="E274" s="1541"/>
      <c r="F274" s="933">
        <v>1</v>
      </c>
      <c r="G274" s="1468" t="s">
        <v>584</v>
      </c>
      <c r="H274" s="1468"/>
      <c r="I274" s="1468"/>
      <c r="J274" s="1468"/>
      <c r="K274" s="1468"/>
      <c r="L274" s="1468"/>
      <c r="M274" s="1468"/>
      <c r="N274" s="1468"/>
      <c r="O274" s="1468"/>
      <c r="P274" s="1468"/>
      <c r="Q274" s="1468"/>
      <c r="R274" s="1468"/>
      <c r="S274" s="1468"/>
      <c r="T274" s="1468"/>
      <c r="U274" s="1468"/>
      <c r="V274" s="1468"/>
      <c r="W274" s="1468"/>
      <c r="X274" s="1468"/>
      <c r="Y274" s="1468"/>
      <c r="Z274" s="1568"/>
      <c r="AA274" s="1417"/>
      <c r="AB274" s="1639"/>
      <c r="AC274" s="1639"/>
      <c r="AD274" s="1418"/>
      <c r="AE274" s="314"/>
      <c r="AF274" s="314"/>
      <c r="AG274" s="314"/>
      <c r="AH274" s="73"/>
      <c r="AI274" s="134" t="b">
        <f>AA274="○"</f>
        <v>0</v>
      </c>
    </row>
    <row r="275" spans="1:62" ht="24.95" customHeight="1">
      <c r="A275" s="1540"/>
      <c r="B275" s="1541"/>
      <c r="C275" s="1541"/>
      <c r="D275" s="1541"/>
      <c r="E275" s="1541"/>
      <c r="F275" s="933">
        <v>2</v>
      </c>
      <c r="G275" s="1468" t="s">
        <v>536</v>
      </c>
      <c r="H275" s="1711"/>
      <c r="I275" s="1711"/>
      <c r="J275" s="1711"/>
      <c r="K275" s="1711"/>
      <c r="L275" s="1711"/>
      <c r="M275" s="1711"/>
      <c r="N275" s="1711"/>
      <c r="O275" s="1711"/>
      <c r="P275" s="1711"/>
      <c r="Q275" s="1711"/>
      <c r="R275" s="1711"/>
      <c r="S275" s="1711"/>
      <c r="T275" s="1711"/>
      <c r="U275" s="1711"/>
      <c r="V275" s="1711"/>
      <c r="W275" s="1711"/>
      <c r="X275" s="1711"/>
      <c r="Y275" s="1711"/>
      <c r="Z275" s="1712"/>
      <c r="AA275" s="1417"/>
      <c r="AB275" s="1639"/>
      <c r="AC275" s="1639"/>
      <c r="AD275" s="1418"/>
      <c r="AE275" s="314"/>
      <c r="AF275" s="314"/>
      <c r="AG275" s="314"/>
      <c r="AH275" s="73"/>
      <c r="AI275" s="134" t="b">
        <f>AA275="○"</f>
        <v>0</v>
      </c>
    </row>
    <row r="276" spans="1:62" ht="24.95" customHeight="1">
      <c r="A276" s="1542"/>
      <c r="B276" s="1407"/>
      <c r="C276" s="1407"/>
      <c r="D276" s="1407"/>
      <c r="E276" s="1407"/>
      <c r="F276" s="927">
        <v>3</v>
      </c>
      <c r="G276" s="1468" t="s">
        <v>537</v>
      </c>
      <c r="H276" s="1468"/>
      <c r="I276" s="1468"/>
      <c r="J276" s="1468"/>
      <c r="K276" s="1468"/>
      <c r="L276" s="1468"/>
      <c r="M276" s="1468"/>
      <c r="N276" s="1468"/>
      <c r="O276" s="1468"/>
      <c r="P276" s="1468"/>
      <c r="Q276" s="1468"/>
      <c r="R276" s="1468"/>
      <c r="S276" s="1468"/>
      <c r="T276" s="1468"/>
      <c r="U276" s="1468"/>
      <c r="V276" s="1468"/>
      <c r="W276" s="1468"/>
      <c r="X276" s="1468"/>
      <c r="Y276" s="1468"/>
      <c r="Z276" s="1568"/>
      <c r="AA276" s="1417"/>
      <c r="AB276" s="1639"/>
      <c r="AC276" s="1639"/>
      <c r="AD276" s="1418"/>
      <c r="AE276" s="314"/>
      <c r="AF276" s="314"/>
      <c r="AG276" s="314"/>
      <c r="AH276" s="73"/>
      <c r="AI276" s="134" t="b">
        <f>AA276="○"</f>
        <v>0</v>
      </c>
    </row>
    <row r="277" spans="1:62" ht="30.75" customHeight="1">
      <c r="A277" s="1466" t="s">
        <v>51</v>
      </c>
      <c r="B277" s="1466"/>
      <c r="C277" s="1466"/>
      <c r="D277" s="1466"/>
      <c r="E277" s="1466"/>
      <c r="F277" s="1467" t="s">
        <v>1043</v>
      </c>
      <c r="G277" s="1468"/>
      <c r="H277" s="1468"/>
      <c r="I277" s="1468"/>
      <c r="J277" s="1468"/>
      <c r="K277" s="1468"/>
      <c r="L277" s="1468"/>
      <c r="M277" s="1468"/>
      <c r="N277" s="1468"/>
      <c r="O277" s="1468"/>
      <c r="P277" s="1468"/>
      <c r="Q277" s="1468"/>
      <c r="R277" s="1468"/>
      <c r="S277" s="1468"/>
      <c r="T277" s="1468"/>
      <c r="U277" s="1468"/>
      <c r="V277" s="1468"/>
      <c r="W277" s="1468"/>
      <c r="X277" s="1468"/>
      <c r="Y277" s="1468"/>
      <c r="Z277" s="1468"/>
      <c r="AA277" s="1468"/>
      <c r="AB277" s="1468"/>
      <c r="AC277" s="1468"/>
      <c r="AD277" s="1568"/>
      <c r="AE277" s="314"/>
      <c r="AF277" s="314"/>
      <c r="AG277" s="314"/>
      <c r="AH277" s="73"/>
    </row>
    <row r="278" spans="1:62" ht="15" customHeight="1" thickBot="1">
      <c r="A278" s="314"/>
      <c r="B278" s="314"/>
      <c r="C278" s="314"/>
      <c r="D278" s="314"/>
      <c r="E278" s="314"/>
      <c r="F278" s="314"/>
      <c r="G278" s="314"/>
      <c r="H278" s="314"/>
      <c r="I278" s="314"/>
      <c r="J278" s="314"/>
      <c r="K278" s="314"/>
      <c r="L278" s="314"/>
      <c r="M278" s="314"/>
      <c r="N278" s="314"/>
      <c r="O278" s="314"/>
      <c r="P278" s="314"/>
      <c r="Q278" s="314"/>
      <c r="R278" s="314"/>
      <c r="S278" s="314"/>
      <c r="T278" s="314"/>
      <c r="U278" s="314"/>
      <c r="V278" s="314"/>
      <c r="W278" s="314"/>
      <c r="X278" s="314"/>
      <c r="Y278" s="314"/>
      <c r="Z278" s="314"/>
      <c r="AA278" s="314"/>
      <c r="AB278" s="314"/>
      <c r="AC278" s="314"/>
      <c r="AD278" s="314"/>
      <c r="AE278" s="314"/>
      <c r="AF278" s="314"/>
      <c r="AG278" s="314"/>
    </row>
    <row r="279" spans="1:62" ht="15" customHeight="1" thickBot="1">
      <c r="A279" s="1643" t="s">
        <v>1618</v>
      </c>
      <c r="B279" s="1643"/>
      <c r="C279" s="1643"/>
      <c r="D279" s="1643"/>
      <c r="E279" s="1643"/>
      <c r="F279" s="1643"/>
      <c r="G279" s="1643"/>
      <c r="H279" s="1643"/>
      <c r="I279" s="1643"/>
      <c r="J279" s="1496" t="s">
        <v>389</v>
      </c>
      <c r="K279" s="1497"/>
      <c r="L279" s="1497"/>
      <c r="M279" s="1497"/>
      <c r="N279" s="1498"/>
      <c r="O279" s="1538" t="s">
        <v>268</v>
      </c>
      <c r="P279" s="1539"/>
      <c r="Q279" s="1539"/>
      <c r="R279" s="926"/>
      <c r="S279" s="926"/>
      <c r="T279" s="926"/>
      <c r="U279" s="926"/>
      <c r="V279" s="314"/>
      <c r="W279" s="314"/>
      <c r="X279" s="314"/>
      <c r="Y279" s="314"/>
      <c r="Z279" s="314"/>
      <c r="AA279" s="314"/>
      <c r="AB279" s="314"/>
      <c r="AC279" s="314"/>
      <c r="AD279" s="314"/>
      <c r="AE279" s="926"/>
      <c r="AF279" s="926"/>
      <c r="AG279" s="926"/>
      <c r="AH279" s="73"/>
    </row>
    <row r="280" spans="1:62" ht="15" customHeight="1">
      <c r="A280" s="1429" t="s">
        <v>390</v>
      </c>
      <c r="B280" s="1429"/>
      <c r="C280" s="1429"/>
      <c r="D280" s="1429"/>
      <c r="E280" s="1429"/>
      <c r="F280" s="1429"/>
      <c r="G280" s="1429"/>
      <c r="H280" s="1429"/>
      <c r="I280" s="1429"/>
      <c r="J280" s="1429"/>
      <c r="K280" s="1429"/>
      <c r="L280" s="1429"/>
      <c r="M280" s="1429"/>
      <c r="N280" s="1429"/>
      <c r="O280" s="1429"/>
      <c r="P280" s="1429"/>
      <c r="Q280" s="1429"/>
      <c r="R280" s="1429"/>
      <c r="S280" s="1429"/>
      <c r="T280" s="1429"/>
      <c r="U280" s="1429"/>
      <c r="V280" s="1429"/>
      <c r="W280" s="1429"/>
      <c r="X280" s="1429"/>
      <c r="Y280" s="1429"/>
      <c r="Z280" s="1429"/>
      <c r="AA280" s="1429"/>
      <c r="AB280" s="1429"/>
      <c r="AC280" s="1429"/>
      <c r="AD280" s="1429"/>
      <c r="AE280" s="926"/>
      <c r="AF280" s="926"/>
      <c r="AG280" s="926"/>
      <c r="AH280" s="73"/>
    </row>
    <row r="281" spans="1:62" ht="15" customHeight="1" thickBot="1">
      <c r="A281" s="314"/>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row>
    <row r="282" spans="1:62" ht="15" customHeight="1" thickBot="1">
      <c r="A282" s="1533" t="s">
        <v>1619</v>
      </c>
      <c r="B282" s="1533"/>
      <c r="C282" s="1533"/>
      <c r="D282" s="1533"/>
      <c r="E282" s="1533"/>
      <c r="F282" s="1533"/>
      <c r="G282" s="1533"/>
      <c r="H282" s="1533"/>
      <c r="I282" s="1533"/>
      <c r="J282" s="1496" t="str">
        <f>IF(AND(AI284,AI285),"○","×")</f>
        <v>×</v>
      </c>
      <c r="K282" s="1497"/>
      <c r="L282" s="1497"/>
      <c r="M282" s="1497"/>
      <c r="N282" s="1498"/>
      <c r="O282" s="1538" t="s">
        <v>268</v>
      </c>
      <c r="P282" s="1539"/>
      <c r="Q282" s="1539"/>
      <c r="R282" s="314"/>
      <c r="S282" s="314"/>
      <c r="T282" s="314"/>
      <c r="U282" s="314"/>
      <c r="V282" s="816"/>
      <c r="W282" s="816"/>
      <c r="X282" s="816"/>
      <c r="Y282" s="816"/>
      <c r="Z282" s="816"/>
      <c r="AA282" s="816"/>
      <c r="AB282" s="816"/>
      <c r="AC282" s="816"/>
      <c r="AD282" s="816"/>
      <c r="AE282" s="314"/>
      <c r="AF282" s="314"/>
      <c r="AG282" s="314"/>
    </row>
    <row r="283" spans="1:62" ht="24.95" customHeight="1">
      <c r="A283" s="1637" t="s">
        <v>638</v>
      </c>
      <c r="B283" s="1869"/>
      <c r="C283" s="1869"/>
      <c r="D283" s="1869"/>
      <c r="E283" s="1404"/>
      <c r="F283" s="1714" t="s">
        <v>103</v>
      </c>
      <c r="G283" s="1714"/>
      <c r="H283" s="1714"/>
      <c r="I283" s="1714"/>
      <c r="J283" s="1714"/>
      <c r="K283" s="1714"/>
      <c r="L283" s="1714"/>
      <c r="M283" s="1714"/>
      <c r="N283" s="1714"/>
      <c r="O283" s="1714"/>
      <c r="P283" s="1714"/>
      <c r="Q283" s="1714"/>
      <c r="R283" s="1714"/>
      <c r="S283" s="1714"/>
      <c r="T283" s="1714"/>
      <c r="U283" s="1714"/>
      <c r="V283" s="1412"/>
      <c r="W283" s="1412"/>
      <c r="X283" s="1412"/>
      <c r="Y283" s="1412"/>
      <c r="Z283" s="1439"/>
      <c r="AA283" s="1411" t="s">
        <v>269</v>
      </c>
      <c r="AB283" s="1412"/>
      <c r="AC283" s="1412"/>
      <c r="AD283" s="1439"/>
      <c r="AE283" s="926"/>
      <c r="AF283" s="926"/>
      <c r="AG283" s="926"/>
    </row>
    <row r="284" spans="1:62" ht="24.95" customHeight="1">
      <c r="A284" s="1540"/>
      <c r="B284" s="1541"/>
      <c r="C284" s="1541"/>
      <c r="D284" s="1541"/>
      <c r="E284" s="1406"/>
      <c r="F284" s="128">
        <v>1</v>
      </c>
      <c r="G284" s="1468" t="s">
        <v>637</v>
      </c>
      <c r="H284" s="1468"/>
      <c r="I284" s="1468"/>
      <c r="J284" s="1468"/>
      <c r="K284" s="1468"/>
      <c r="L284" s="1468"/>
      <c r="M284" s="1468"/>
      <c r="N284" s="1468"/>
      <c r="O284" s="1468"/>
      <c r="P284" s="1468"/>
      <c r="Q284" s="1468"/>
      <c r="R284" s="1468"/>
      <c r="S284" s="1468"/>
      <c r="T284" s="1468"/>
      <c r="U284" s="1468"/>
      <c r="V284" s="1468"/>
      <c r="W284" s="1468"/>
      <c r="X284" s="1468"/>
      <c r="Y284" s="1468"/>
      <c r="Z284" s="1568"/>
      <c r="AA284" s="1411" t="str">
        <f>IFERROR(IF(W15&gt;0,"○","×"),"×")</f>
        <v>×</v>
      </c>
      <c r="AB284" s="1412"/>
      <c r="AC284" s="1412"/>
      <c r="AD284" s="1439"/>
      <c r="AE284" s="926"/>
      <c r="AF284" s="926"/>
      <c r="AG284" s="926"/>
      <c r="AI284" s="134" t="b">
        <f>AA284="○"</f>
        <v>0</v>
      </c>
    </row>
    <row r="285" spans="1:62" ht="24.95" customHeight="1">
      <c r="A285" s="1540"/>
      <c r="B285" s="1541"/>
      <c r="C285" s="1541"/>
      <c r="D285" s="1541"/>
      <c r="E285" s="1406"/>
      <c r="F285" s="1637">
        <v>2</v>
      </c>
      <c r="G285" s="1753" t="s">
        <v>639</v>
      </c>
      <c r="H285" s="1753"/>
      <c r="I285" s="1753"/>
      <c r="J285" s="1753"/>
      <c r="K285" s="1753"/>
      <c r="L285" s="1753"/>
      <c r="M285" s="1753"/>
      <c r="N285" s="1753"/>
      <c r="O285" s="1753"/>
      <c r="P285" s="1753"/>
      <c r="Q285" s="1753"/>
      <c r="R285" s="1753"/>
      <c r="S285" s="1753"/>
      <c r="T285" s="1753"/>
      <c r="U285" s="1753"/>
      <c r="V285" s="1753"/>
      <c r="W285" s="1753"/>
      <c r="X285" s="1753"/>
      <c r="Y285" s="1753"/>
      <c r="Z285" s="1462"/>
      <c r="AA285" s="2014"/>
      <c r="AB285" s="2015"/>
      <c r="AC285" s="2015"/>
      <c r="AD285" s="2016"/>
      <c r="AE285" s="926"/>
      <c r="AF285" s="926"/>
      <c r="AG285" s="926"/>
      <c r="AI285" s="134" t="b">
        <f>AA285="○"</f>
        <v>0</v>
      </c>
    </row>
    <row r="286" spans="1:62" customFormat="1" ht="24.95" customHeight="1">
      <c r="A286" s="1542"/>
      <c r="B286" s="1407"/>
      <c r="C286" s="1407"/>
      <c r="D286" s="1407"/>
      <c r="E286" s="1408"/>
      <c r="F286" s="1542"/>
      <c r="G286" s="1989" t="s">
        <v>640</v>
      </c>
      <c r="H286" s="1989"/>
      <c r="I286" s="1989"/>
      <c r="J286" s="1989"/>
      <c r="K286" s="1989"/>
      <c r="L286" s="1989"/>
      <c r="M286" s="1989" t="str">
        <f>R12</f>
        <v>幼保</v>
      </c>
      <c r="N286" s="1989"/>
      <c r="O286" s="1989"/>
      <c r="P286" s="1989"/>
      <c r="Q286" s="1989"/>
      <c r="R286" s="1989"/>
      <c r="S286" s="1989"/>
      <c r="T286" s="1989"/>
      <c r="U286" s="1989"/>
      <c r="V286" s="1989"/>
      <c r="W286" s="1989"/>
      <c r="X286" s="1989"/>
      <c r="Y286" s="1989"/>
      <c r="Z286" s="2128"/>
      <c r="AA286" s="1417"/>
      <c r="AB286" s="1639"/>
      <c r="AC286" s="1639"/>
      <c r="AD286" s="1418"/>
      <c r="AE286" s="1000"/>
      <c r="AF286" s="1000"/>
      <c r="AG286" s="1000"/>
      <c r="BB286" s="65"/>
      <c r="BC286" s="65"/>
      <c r="BD286" s="65"/>
      <c r="BE286" s="65"/>
      <c r="BF286" s="65"/>
      <c r="BG286" s="65"/>
      <c r="BH286" s="65"/>
      <c r="BI286" s="65"/>
      <c r="BJ286" s="65"/>
    </row>
    <row r="287" spans="1:62" ht="15" customHeight="1" thickBot="1">
      <c r="A287" s="314"/>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row>
    <row r="288" spans="1:62" ht="15" customHeight="1" thickBot="1">
      <c r="A288" s="1575" t="s">
        <v>1620</v>
      </c>
      <c r="B288" s="1575"/>
      <c r="C288" s="1575"/>
      <c r="D288" s="1575"/>
      <c r="E288" s="1575"/>
      <c r="F288" s="1575"/>
      <c r="G288" s="1575"/>
      <c r="H288" s="1575"/>
      <c r="I288" s="1575"/>
      <c r="J288" s="1982" t="str">
        <f>IF(AI291,AA292,"×")</f>
        <v>全て</v>
      </c>
      <c r="K288" s="1983"/>
      <c r="L288" s="1983"/>
      <c r="M288" s="1983"/>
      <c r="N288" s="1984"/>
      <c r="O288" s="1538" t="s">
        <v>268</v>
      </c>
      <c r="P288" s="1539"/>
      <c r="Q288" s="1539"/>
      <c r="R288" s="314"/>
      <c r="S288" s="314"/>
      <c r="T288" s="314"/>
      <c r="U288" s="314"/>
      <c r="V288" s="314"/>
      <c r="W288" s="314"/>
      <c r="X288" s="314"/>
      <c r="Y288" s="314"/>
      <c r="Z288" s="314"/>
      <c r="AA288" s="314"/>
      <c r="AB288" s="314"/>
      <c r="AC288" s="314"/>
      <c r="AD288" s="314"/>
      <c r="AE288" s="314"/>
      <c r="AF288" s="314"/>
      <c r="AG288" s="314"/>
    </row>
    <row r="289" spans="1:62" ht="15" customHeight="1">
      <c r="A289" s="689" t="s">
        <v>451</v>
      </c>
      <c r="B289" s="689"/>
      <c r="C289" s="944"/>
      <c r="D289" s="944"/>
      <c r="E289" s="944"/>
      <c r="F289" s="944"/>
      <c r="G289" s="944"/>
      <c r="H289" s="944"/>
      <c r="I289" s="944"/>
      <c r="J289" s="690"/>
      <c r="K289" s="690"/>
      <c r="L289" s="690"/>
      <c r="M289" s="690"/>
      <c r="N289" s="690"/>
      <c r="O289" s="921"/>
      <c r="P289" s="921"/>
      <c r="Q289" s="921"/>
      <c r="R289" s="314"/>
      <c r="S289" s="314"/>
      <c r="T289" s="314"/>
      <c r="U289" s="314"/>
      <c r="V289" s="921"/>
      <c r="W289" s="921"/>
      <c r="X289" s="921"/>
      <c r="Y289" s="921"/>
      <c r="Z289" s="921"/>
      <c r="AA289" s="921"/>
      <c r="AB289" s="921"/>
      <c r="AC289" s="921"/>
      <c r="AD289" s="921"/>
      <c r="AE289" s="314"/>
      <c r="AF289" s="314"/>
      <c r="AG289" s="314"/>
      <c r="AH289" s="73"/>
    </row>
    <row r="290" spans="1:62" ht="15" customHeight="1">
      <c r="A290" s="1665" t="s">
        <v>74</v>
      </c>
      <c r="B290" s="1756"/>
      <c r="C290" s="1756"/>
      <c r="D290" s="1756"/>
      <c r="E290" s="1756"/>
      <c r="F290" s="1528" t="s">
        <v>103</v>
      </c>
      <c r="G290" s="1466"/>
      <c r="H290" s="1466"/>
      <c r="I290" s="1466"/>
      <c r="J290" s="1466"/>
      <c r="K290" s="1466"/>
      <c r="L290" s="1466"/>
      <c r="M290" s="1466"/>
      <c r="N290" s="1466"/>
      <c r="O290" s="1466"/>
      <c r="P290" s="1466"/>
      <c r="Q290" s="1466"/>
      <c r="R290" s="1466"/>
      <c r="S290" s="1466"/>
      <c r="T290" s="1466"/>
      <c r="U290" s="1466"/>
      <c r="V290" s="1466"/>
      <c r="W290" s="1466"/>
      <c r="X290" s="1466"/>
      <c r="Y290" s="1466"/>
      <c r="Z290" s="1466"/>
      <c r="AA290" s="1466" t="s">
        <v>269</v>
      </c>
      <c r="AB290" s="1466"/>
      <c r="AC290" s="1466"/>
      <c r="AD290" s="1466"/>
      <c r="AE290" s="314"/>
      <c r="AF290" s="314"/>
      <c r="AG290" s="314"/>
      <c r="AH290" s="73"/>
    </row>
    <row r="291" spans="1:62" ht="15" customHeight="1">
      <c r="A291" s="1630"/>
      <c r="B291" s="1539"/>
      <c r="C291" s="1539"/>
      <c r="D291" s="1539"/>
      <c r="E291" s="1539"/>
      <c r="F291" s="1768" t="s">
        <v>519</v>
      </c>
      <c r="G291" s="1769"/>
      <c r="H291" s="1769"/>
      <c r="I291" s="1769"/>
      <c r="J291" s="1769"/>
      <c r="K291" s="1769"/>
      <c r="L291" s="1769"/>
      <c r="M291" s="1769"/>
      <c r="N291" s="1769"/>
      <c r="O291" s="1769"/>
      <c r="P291" s="1769"/>
      <c r="Q291" s="1769"/>
      <c r="R291" s="1769"/>
      <c r="S291" s="1769"/>
      <c r="T291" s="1769"/>
      <c r="U291" s="1769"/>
      <c r="V291" s="1769"/>
      <c r="W291" s="1769"/>
      <c r="X291" s="1769"/>
      <c r="Y291" s="1769"/>
      <c r="Z291" s="1770"/>
      <c r="AA291" s="1411" t="str">
        <f>IF('(別紙2)土曜閉所'!F10&gt;0,"○","×")</f>
        <v>○</v>
      </c>
      <c r="AB291" s="1412"/>
      <c r="AC291" s="1412"/>
      <c r="AD291" s="1439"/>
      <c r="AE291" s="314"/>
      <c r="AF291" s="314"/>
      <c r="AG291" s="314"/>
      <c r="AH291" s="73"/>
      <c r="AI291" s="134" t="b">
        <f>AA291="○"</f>
        <v>1</v>
      </c>
    </row>
    <row r="292" spans="1:62" ht="15" customHeight="1">
      <c r="A292" s="1411"/>
      <c r="B292" s="1412"/>
      <c r="C292" s="1412"/>
      <c r="D292" s="1412"/>
      <c r="E292" s="1412"/>
      <c r="F292" s="1768" t="s">
        <v>520</v>
      </c>
      <c r="G292" s="1769"/>
      <c r="H292" s="1769"/>
      <c r="I292" s="1769"/>
      <c r="J292" s="1769"/>
      <c r="K292" s="1769"/>
      <c r="L292" s="1769"/>
      <c r="M292" s="1769"/>
      <c r="N292" s="1769"/>
      <c r="O292" s="1769"/>
      <c r="P292" s="1769"/>
      <c r="Q292" s="1769"/>
      <c r="R292" s="1769"/>
      <c r="S292" s="1769"/>
      <c r="T292" s="1769"/>
      <c r="U292" s="1769"/>
      <c r="V292" s="1769"/>
      <c r="W292" s="1769"/>
      <c r="X292" s="1769"/>
      <c r="Y292" s="1769"/>
      <c r="Z292" s="1770"/>
      <c r="AA292" s="1411" t="str">
        <f>'(別紙2)土曜閉所'!C11</f>
        <v>全て</v>
      </c>
      <c r="AB292" s="1412"/>
      <c r="AC292" s="1412"/>
      <c r="AD292" s="1439"/>
      <c r="AE292" s="314"/>
      <c r="AF292" s="314"/>
      <c r="AG292" s="314"/>
      <c r="AH292" s="73"/>
      <c r="AI292" s="66"/>
    </row>
    <row r="293" spans="1:62" ht="15" customHeight="1">
      <c r="A293" s="1713" t="s">
        <v>588</v>
      </c>
      <c r="B293" s="1714"/>
      <c r="C293" s="1714"/>
      <c r="D293" s="1714"/>
      <c r="E293" s="1616"/>
      <c r="F293" s="1713" t="str">
        <f>'(別紙2)土曜閉所'!G22&amp;'(別紙2)土曜閉所'!C22&amp;" → "&amp;'(別紙2)土曜閉所'!F22</f>
        <v>(変更無)全て → 全て</v>
      </c>
      <c r="G293" s="1714"/>
      <c r="H293" s="1714"/>
      <c r="I293" s="1714"/>
      <c r="J293" s="1714"/>
      <c r="K293" s="1714"/>
      <c r="L293" s="1714"/>
      <c r="M293" s="1714"/>
      <c r="N293" s="1714"/>
      <c r="O293" s="1714"/>
      <c r="P293" s="1714"/>
      <c r="Q293" s="1714"/>
      <c r="R293" s="1714"/>
      <c r="S293" s="1714"/>
      <c r="T293" s="1714"/>
      <c r="U293" s="1714"/>
      <c r="V293" s="1714"/>
      <c r="W293" s="1714"/>
      <c r="X293" s="1714"/>
      <c r="Y293" s="1714"/>
      <c r="Z293" s="1714"/>
      <c r="AA293" s="1714"/>
      <c r="AB293" s="1714"/>
      <c r="AC293" s="1714"/>
      <c r="AD293" s="1616"/>
      <c r="AE293" s="314"/>
      <c r="AF293" s="314"/>
      <c r="AG293" s="314"/>
      <c r="AH293" s="73"/>
      <c r="AI293" s="66"/>
      <c r="BB293"/>
      <c r="BC293"/>
      <c r="BD293"/>
      <c r="BE293"/>
      <c r="BF293"/>
      <c r="BG293"/>
      <c r="BH293"/>
      <c r="BI293"/>
      <c r="BJ293"/>
    </row>
    <row r="294" spans="1:62" ht="15" customHeight="1">
      <c r="A294" s="1681" t="s">
        <v>51</v>
      </c>
      <c r="B294" s="1682"/>
      <c r="C294" s="1682"/>
      <c r="D294" s="1682"/>
      <c r="E294" s="1683"/>
      <c r="F294" s="1684" t="s">
        <v>623</v>
      </c>
      <c r="G294" s="1685"/>
      <c r="H294" s="1685"/>
      <c r="I294" s="1685"/>
      <c r="J294" s="1685"/>
      <c r="K294" s="1685"/>
      <c r="L294" s="1685"/>
      <c r="M294" s="1685"/>
      <c r="N294" s="1685"/>
      <c r="O294" s="1685"/>
      <c r="P294" s="1685"/>
      <c r="Q294" s="1685"/>
      <c r="R294" s="1685"/>
      <c r="S294" s="1685"/>
      <c r="T294" s="1685"/>
      <c r="U294" s="1685"/>
      <c r="V294" s="1685"/>
      <c r="W294" s="1685"/>
      <c r="X294" s="1685"/>
      <c r="Y294" s="1685"/>
      <c r="Z294" s="1685"/>
      <c r="AA294" s="1685"/>
      <c r="AB294" s="1685"/>
      <c r="AC294" s="1685"/>
      <c r="AD294" s="1686"/>
      <c r="AE294" s="314"/>
      <c r="AF294" s="314"/>
      <c r="AG294" s="314"/>
      <c r="AH294" s="73"/>
      <c r="AI294" s="66"/>
    </row>
    <row r="295" spans="1:62" ht="50.1" customHeight="1">
      <c r="A295" s="1515" t="s">
        <v>521</v>
      </c>
      <c r="B295" s="1515"/>
      <c r="C295" s="1515"/>
      <c r="D295" s="1515"/>
      <c r="E295" s="1515"/>
      <c r="F295" s="1515"/>
      <c r="G295" s="1515"/>
      <c r="H295" s="1515"/>
      <c r="I295" s="1515"/>
      <c r="J295" s="1515"/>
      <c r="K295" s="1515"/>
      <c r="L295" s="1515"/>
      <c r="M295" s="1515"/>
      <c r="N295" s="1515"/>
      <c r="O295" s="1515"/>
      <c r="P295" s="1515"/>
      <c r="Q295" s="1515"/>
      <c r="R295" s="1515"/>
      <c r="S295" s="1515"/>
      <c r="T295" s="1515"/>
      <c r="U295" s="1515"/>
      <c r="V295" s="1515"/>
      <c r="W295" s="1515"/>
      <c r="X295" s="1515"/>
      <c r="Y295" s="1515"/>
      <c r="Z295" s="1515"/>
      <c r="AA295" s="1515"/>
      <c r="AB295" s="1515"/>
      <c r="AC295" s="1515"/>
      <c r="AD295" s="1515"/>
      <c r="AE295" s="314"/>
      <c r="AF295" s="314"/>
      <c r="AG295" s="314"/>
      <c r="AH295" s="73"/>
      <c r="AI295" s="66"/>
    </row>
    <row r="296" spans="1:62" ht="15" customHeight="1" thickBot="1">
      <c r="A296" s="926"/>
      <c r="B296" s="184"/>
      <c r="C296" s="184"/>
      <c r="D296" s="184"/>
      <c r="E296" s="184"/>
      <c r="F296" s="184"/>
      <c r="G296" s="184"/>
      <c r="H296" s="184"/>
      <c r="I296" s="184"/>
      <c r="J296" s="184"/>
      <c r="K296" s="184"/>
      <c r="L296" s="184"/>
      <c r="M296" s="184"/>
      <c r="N296" s="184"/>
      <c r="O296" s="184"/>
      <c r="P296" s="184"/>
      <c r="Q296" s="184"/>
      <c r="R296" s="184"/>
      <c r="S296" s="184"/>
      <c r="T296" s="184"/>
      <c r="U296" s="184"/>
      <c r="V296" s="184"/>
      <c r="W296" s="184"/>
      <c r="X296" s="184"/>
      <c r="Y296" s="184"/>
      <c r="Z296" s="184"/>
      <c r="AA296" s="184"/>
      <c r="AB296" s="184"/>
      <c r="AC296" s="184"/>
      <c r="AD296" s="184"/>
      <c r="AE296" s="314"/>
      <c r="AF296" s="314"/>
      <c r="AG296" s="314"/>
    </row>
    <row r="297" spans="1:62" ht="15" customHeight="1" thickBot="1">
      <c r="A297" s="1591" t="s">
        <v>1621</v>
      </c>
      <c r="B297" s="1591"/>
      <c r="C297" s="1591"/>
      <c r="D297" s="1591"/>
      <c r="E297" s="1591"/>
      <c r="F297" s="1591"/>
      <c r="G297" s="1591"/>
      <c r="H297" s="1591"/>
      <c r="I297" s="1592"/>
      <c r="J297" s="1496" t="str">
        <f>IFERROR(IF(AND(AI299,AI300,AI301,AI302),"×","○"),"エラー")</f>
        <v>○</v>
      </c>
      <c r="K297" s="1497"/>
      <c r="L297" s="1497"/>
      <c r="M297" s="1497"/>
      <c r="N297" s="1498"/>
      <c r="O297" s="1538" t="s">
        <v>268</v>
      </c>
      <c r="P297" s="1539"/>
      <c r="Q297" s="1539"/>
      <c r="R297" s="314"/>
      <c r="S297" s="314"/>
      <c r="T297" s="314"/>
      <c r="U297" s="314"/>
      <c r="V297" s="816"/>
      <c r="W297" s="816"/>
      <c r="X297" s="816"/>
      <c r="Y297" s="816"/>
      <c r="Z297" s="816"/>
      <c r="AA297" s="816"/>
      <c r="AB297" s="816"/>
      <c r="AC297" s="816"/>
      <c r="AD297" s="816"/>
      <c r="AE297" s="314"/>
      <c r="AF297" s="314"/>
      <c r="AG297" s="314"/>
      <c r="AI297" s="80"/>
    </row>
    <row r="298" spans="1:62" s="73" customFormat="1" ht="15" customHeight="1">
      <c r="A298" s="1422" t="s">
        <v>1040</v>
      </c>
      <c r="B298" s="1422"/>
      <c r="C298" s="1422"/>
      <c r="D298" s="1422"/>
      <c r="E298" s="1422"/>
      <c r="F298" s="1756" t="s">
        <v>103</v>
      </c>
      <c r="G298" s="1756"/>
      <c r="H298" s="1756"/>
      <c r="I298" s="1756"/>
      <c r="J298" s="1756"/>
      <c r="K298" s="1756"/>
      <c r="L298" s="1756"/>
      <c r="M298" s="1756"/>
      <c r="N298" s="1756"/>
      <c r="O298" s="1756"/>
      <c r="P298" s="1756"/>
      <c r="Q298" s="1756"/>
      <c r="R298" s="1756"/>
      <c r="S298" s="1756"/>
      <c r="T298" s="1756"/>
      <c r="U298" s="1756"/>
      <c r="V298" s="1539"/>
      <c r="W298" s="1539"/>
      <c r="X298" s="1539"/>
      <c r="Y298" s="1539"/>
      <c r="Z298" s="1539"/>
      <c r="AA298" s="1539"/>
      <c r="AB298" s="1539"/>
      <c r="AC298" s="1631"/>
      <c r="AD298" s="1426" t="s">
        <v>269</v>
      </c>
      <c r="AE298" s="1466"/>
      <c r="AF298" s="1466"/>
      <c r="AG298" s="1466"/>
      <c r="AI298" s="803"/>
      <c r="AK298" s="65"/>
      <c r="AL298" s="65"/>
      <c r="AM298" s="65"/>
      <c r="AN298" s="65"/>
      <c r="BB298" s="65"/>
      <c r="BC298" s="65"/>
      <c r="BD298" s="65"/>
      <c r="BE298" s="65"/>
      <c r="BF298" s="65"/>
      <c r="BG298" s="65"/>
      <c r="BH298" s="65"/>
      <c r="BI298" s="65"/>
      <c r="BJ298" s="65"/>
    </row>
    <row r="299" spans="1:62" s="73" customFormat="1" ht="15" customHeight="1">
      <c r="A299" s="1423"/>
      <c r="B299" s="1423"/>
      <c r="C299" s="1423"/>
      <c r="D299" s="1423"/>
      <c r="E299" s="1423"/>
      <c r="F299" s="925">
        <v>1</v>
      </c>
      <c r="G299" s="1969" t="s">
        <v>1160</v>
      </c>
      <c r="H299" s="1969"/>
      <c r="I299" s="1969"/>
      <c r="J299" s="1969"/>
      <c r="K299" s="1969"/>
      <c r="L299" s="1969"/>
      <c r="M299" s="1969"/>
      <c r="N299" s="1969"/>
      <c r="O299" s="1969"/>
      <c r="P299" s="1969"/>
      <c r="Q299" s="1969"/>
      <c r="R299" s="1969"/>
      <c r="S299" s="1969"/>
      <c r="T299" s="1969"/>
      <c r="U299" s="1969"/>
      <c r="V299" s="1969"/>
      <c r="W299" s="1969"/>
      <c r="X299" s="1969"/>
      <c r="Y299" s="1969"/>
      <c r="Z299" s="1969"/>
      <c r="AA299" s="1969"/>
      <c r="AB299" s="1969"/>
      <c r="AC299" s="1970"/>
      <c r="AD299" s="1795" t="str">
        <f>【様式５】職員数算出表!O36</f>
        <v>×</v>
      </c>
      <c r="AE299" s="1704"/>
      <c r="AF299" s="1704"/>
      <c r="AG299" s="1663"/>
      <c r="AI299" s="938" t="b">
        <f>AD299="○"</f>
        <v>0</v>
      </c>
      <c r="BB299" s="65"/>
      <c r="BC299" s="65"/>
      <c r="BD299" s="65"/>
      <c r="BE299" s="65"/>
      <c r="BF299" s="65"/>
      <c r="BG299" s="65"/>
      <c r="BH299" s="65"/>
      <c r="BI299" s="65"/>
      <c r="BJ299" s="65"/>
    </row>
    <row r="300" spans="1:62" ht="15" customHeight="1">
      <c r="A300" s="1423"/>
      <c r="B300" s="1423"/>
      <c r="C300" s="1423"/>
      <c r="D300" s="1423"/>
      <c r="E300" s="1423"/>
      <c r="F300" s="933">
        <v>2</v>
      </c>
      <c r="G300" s="1468" t="s">
        <v>361</v>
      </c>
      <c r="H300" s="1468"/>
      <c r="I300" s="1468"/>
      <c r="J300" s="1468"/>
      <c r="K300" s="1468"/>
      <c r="L300" s="1468"/>
      <c r="M300" s="1468"/>
      <c r="N300" s="1468"/>
      <c r="O300" s="1468"/>
      <c r="P300" s="1468"/>
      <c r="Q300" s="1468"/>
      <c r="R300" s="1468"/>
      <c r="S300" s="1468"/>
      <c r="T300" s="1468"/>
      <c r="U300" s="1468"/>
      <c r="V300" s="1468"/>
      <c r="W300" s="1468"/>
      <c r="X300" s="1468"/>
      <c r="Y300" s="1468"/>
      <c r="Z300" s="1468"/>
      <c r="AA300" s="1468"/>
      <c r="AB300" s="1468"/>
      <c r="AC300" s="1568"/>
      <c r="AD300" s="1854"/>
      <c r="AE300" s="1855"/>
      <c r="AF300" s="1855"/>
      <c r="AG300" s="1856"/>
      <c r="AH300" s="73"/>
      <c r="AI300" s="937" t="b">
        <f>AD300="○"</f>
        <v>0</v>
      </c>
    </row>
    <row r="301" spans="1:62" ht="29.25" customHeight="1">
      <c r="A301" s="1423"/>
      <c r="B301" s="1423"/>
      <c r="C301" s="1423"/>
      <c r="D301" s="1423"/>
      <c r="E301" s="1423"/>
      <c r="F301" s="1282">
        <v>3</v>
      </c>
      <c r="G301" s="1468" t="s">
        <v>1527</v>
      </c>
      <c r="H301" s="1468"/>
      <c r="I301" s="1468"/>
      <c r="J301" s="1468"/>
      <c r="K301" s="1468"/>
      <c r="L301" s="1468"/>
      <c r="M301" s="1468"/>
      <c r="N301" s="1468"/>
      <c r="O301" s="1468"/>
      <c r="P301" s="1468"/>
      <c r="Q301" s="1468"/>
      <c r="R301" s="1468"/>
      <c r="S301" s="1468"/>
      <c r="T301" s="1468"/>
      <c r="U301" s="1468"/>
      <c r="V301" s="1468"/>
      <c r="W301" s="1468"/>
      <c r="X301" s="1468"/>
      <c r="Y301" s="1468"/>
      <c r="Z301" s="1468"/>
      <c r="AA301" s="1468"/>
      <c r="AB301" s="1468"/>
      <c r="AC301" s="1468"/>
      <c r="AD301" s="1572"/>
      <c r="AE301" s="1573"/>
      <c r="AF301" s="1573"/>
      <c r="AG301" s="1574"/>
      <c r="AH301" s="73"/>
      <c r="AI301" s="1284" t="b">
        <f>AD301="○"</f>
        <v>0</v>
      </c>
    </row>
    <row r="302" spans="1:62" ht="15" customHeight="1">
      <c r="A302" s="1423"/>
      <c r="B302" s="1423"/>
      <c r="C302" s="1423"/>
      <c r="D302" s="1423"/>
      <c r="E302" s="1423"/>
      <c r="F302" s="934">
        <v>4</v>
      </c>
      <c r="G302" s="2125" t="s">
        <v>343</v>
      </c>
      <c r="H302" s="2125"/>
      <c r="I302" s="2125"/>
      <c r="J302" s="2125"/>
      <c r="K302" s="2125"/>
      <c r="L302" s="2125"/>
      <c r="M302" s="2125"/>
      <c r="N302" s="2125"/>
      <c r="O302" s="2125"/>
      <c r="P302" s="2125"/>
      <c r="Q302" s="2125"/>
      <c r="R302" s="2125"/>
      <c r="S302" s="2125"/>
      <c r="T302" s="2125"/>
      <c r="U302" s="2125"/>
      <c r="V302" s="2125"/>
      <c r="W302" s="2125"/>
      <c r="X302" s="2125"/>
      <c r="Y302" s="2125"/>
      <c r="Z302" s="2125"/>
      <c r="AA302" s="2125"/>
      <c r="AB302" s="2125"/>
      <c r="AC302" s="2126"/>
      <c r="AD302" s="1665" t="str">
        <f>IF(COUNTIF($AF$303:$AG$330,"○")&gt;=2,"○","×")</f>
        <v>×</v>
      </c>
      <c r="AE302" s="1756"/>
      <c r="AF302" s="1756"/>
      <c r="AG302" s="2127"/>
      <c r="AI302" s="937" t="b">
        <f>AD302="○"</f>
        <v>0</v>
      </c>
    </row>
    <row r="303" spans="1:62" ht="50.1" customHeight="1">
      <c r="A303" s="1423"/>
      <c r="B303" s="1423"/>
      <c r="C303" s="1423"/>
      <c r="D303" s="1423"/>
      <c r="E303" s="1423"/>
      <c r="F303" s="1647" t="s">
        <v>363</v>
      </c>
      <c r="G303" s="1648"/>
      <c r="H303" s="1991" t="s">
        <v>1171</v>
      </c>
      <c r="I303" s="1991"/>
      <c r="J303" s="1991"/>
      <c r="K303" s="1991"/>
      <c r="L303" s="1991"/>
      <c r="M303" s="1991"/>
      <c r="N303" s="1991"/>
      <c r="O303" s="1991"/>
      <c r="P303" s="1991"/>
      <c r="Q303" s="1991"/>
      <c r="R303" s="1991"/>
      <c r="S303" s="1991"/>
      <c r="T303" s="1991"/>
      <c r="U303" s="1991"/>
      <c r="V303" s="1991"/>
      <c r="W303" s="1991"/>
      <c r="X303" s="1991"/>
      <c r="Y303" s="1991"/>
      <c r="Z303" s="1991"/>
      <c r="AA303" s="1991"/>
      <c r="AB303" s="1991"/>
      <c r="AC303" s="1991"/>
      <c r="AD303" s="1991"/>
      <c r="AE303" s="1992"/>
      <c r="AF303" s="1977" t="str">
        <f>IFERROR(IF(OR(HLOOKUP(AI316,AJ305:AU306,2,FALSE),AND(AI316=1,AK306)),"○","×"),"×")</f>
        <v>×</v>
      </c>
      <c r="AG303" s="1978"/>
    </row>
    <row r="304" spans="1:62" ht="20.100000000000001" hidden="1" customHeight="1">
      <c r="A304" s="1423"/>
      <c r="B304" s="1423"/>
      <c r="C304" s="1423"/>
      <c r="D304" s="1423"/>
      <c r="E304" s="1423"/>
      <c r="F304" s="1630"/>
      <c r="G304" s="1539"/>
      <c r="H304" s="1695" t="s">
        <v>1164</v>
      </c>
      <c r="I304" s="1695"/>
      <c r="J304" s="1695"/>
      <c r="K304" s="1695"/>
      <c r="L304" s="1695"/>
      <c r="M304" s="1695"/>
      <c r="N304" s="1695"/>
      <c r="O304" s="1695"/>
      <c r="P304" s="1695"/>
      <c r="Q304" s="1695"/>
      <c r="R304" s="1695"/>
      <c r="S304" s="1695"/>
      <c r="T304" s="1695"/>
      <c r="U304" s="1695"/>
      <c r="V304" s="1695"/>
      <c r="W304" s="1695"/>
      <c r="X304" s="1695"/>
      <c r="Y304" s="1695"/>
      <c r="Z304" s="1695"/>
      <c r="AA304" s="1695"/>
      <c r="AB304" s="2002"/>
      <c r="AC304" s="2003"/>
      <c r="AD304" s="2003"/>
      <c r="AE304" s="2003"/>
      <c r="AF304" s="1979"/>
      <c r="AG304" s="1980"/>
      <c r="AI304" s="134" t="s">
        <v>364</v>
      </c>
      <c r="AJ304" s="81">
        <v>4</v>
      </c>
      <c r="AK304" s="937">
        <v>5</v>
      </c>
      <c r="AL304" s="937">
        <v>6</v>
      </c>
      <c r="AM304" s="937">
        <v>7</v>
      </c>
      <c r="AN304" s="937">
        <v>8</v>
      </c>
      <c r="AO304" s="937">
        <v>9</v>
      </c>
      <c r="AP304" s="937">
        <v>10</v>
      </c>
      <c r="AQ304" s="937">
        <v>11</v>
      </c>
      <c r="AR304" s="937">
        <v>12</v>
      </c>
      <c r="AS304" s="937">
        <v>1</v>
      </c>
      <c r="AT304" s="937">
        <v>2</v>
      </c>
      <c r="AU304" s="937">
        <v>3</v>
      </c>
      <c r="AV304" s="77"/>
    </row>
    <row r="305" spans="1:67" ht="15" customHeight="1">
      <c r="A305" s="1423"/>
      <c r="B305" s="1423"/>
      <c r="C305" s="1423"/>
      <c r="D305" s="1423"/>
      <c r="E305" s="1423"/>
      <c r="F305" s="1630"/>
      <c r="G305" s="1539"/>
      <c r="H305" s="1971" t="str">
        <f>IF(AB304="○","昨年度","今年度")&amp;"の各月延べ利用数(20人/月が該当月)"</f>
        <v>今年度の各月延べ利用数(20人/月が該当月)</v>
      </c>
      <c r="I305" s="1971"/>
      <c r="J305" s="1971"/>
      <c r="K305" s="1971"/>
      <c r="L305" s="1971"/>
      <c r="M305" s="1971"/>
      <c r="N305" s="1971"/>
      <c r="O305" s="1971"/>
      <c r="P305" s="1971"/>
      <c r="Q305" s="1971"/>
      <c r="R305" s="1971"/>
      <c r="S305" s="1971"/>
      <c r="T305" s="1971"/>
      <c r="U305" s="1971"/>
      <c r="V305" s="1971"/>
      <c r="W305" s="1971"/>
      <c r="X305" s="1971"/>
      <c r="Y305" s="1971"/>
      <c r="Z305" s="1971"/>
      <c r="AA305" s="1971"/>
      <c r="AB305" s="1972"/>
      <c r="AC305" s="1972"/>
      <c r="AD305" s="1972"/>
      <c r="AE305" s="1973"/>
      <c r="AF305" s="1979"/>
      <c r="AG305" s="1980"/>
      <c r="AI305" s="134" t="s">
        <v>365</v>
      </c>
      <c r="AJ305" s="134">
        <v>1</v>
      </c>
      <c r="AK305" s="134">
        <v>2</v>
      </c>
      <c r="AL305" s="134">
        <v>3</v>
      </c>
      <c r="AM305" s="134">
        <v>4</v>
      </c>
      <c r="AN305" s="134">
        <v>5</v>
      </c>
      <c r="AO305" s="134">
        <v>6</v>
      </c>
      <c r="AP305" s="134">
        <v>7</v>
      </c>
      <c r="AQ305" s="134">
        <v>8</v>
      </c>
      <c r="AR305" s="134">
        <v>9</v>
      </c>
      <c r="AS305" s="134">
        <v>10</v>
      </c>
      <c r="AT305" s="134">
        <v>11</v>
      </c>
      <c r="AU305" s="134">
        <v>12</v>
      </c>
      <c r="AV305" s="66"/>
    </row>
    <row r="306" spans="1:67" ht="15" customHeight="1">
      <c r="A306" s="1423"/>
      <c r="B306" s="1423"/>
      <c r="C306" s="1423"/>
      <c r="D306" s="1423"/>
      <c r="E306" s="1423"/>
      <c r="F306" s="1630"/>
      <c r="G306" s="1539"/>
      <c r="H306" s="1625" t="s">
        <v>366</v>
      </c>
      <c r="I306" s="1625"/>
      <c r="J306" s="1626"/>
      <c r="K306" s="1621"/>
      <c r="L306" s="1622"/>
      <c r="M306" s="691" t="s">
        <v>344</v>
      </c>
      <c r="N306" s="1625" t="s">
        <v>367</v>
      </c>
      <c r="O306" s="1625"/>
      <c r="P306" s="1626"/>
      <c r="Q306" s="1621"/>
      <c r="R306" s="1622"/>
      <c r="S306" s="691" t="s">
        <v>344</v>
      </c>
      <c r="T306" s="1625" t="s">
        <v>368</v>
      </c>
      <c r="U306" s="1625"/>
      <c r="V306" s="1626"/>
      <c r="W306" s="1621"/>
      <c r="X306" s="1622"/>
      <c r="Y306" s="691" t="s">
        <v>344</v>
      </c>
      <c r="Z306" s="1625" t="s">
        <v>369</v>
      </c>
      <c r="AA306" s="1625"/>
      <c r="AB306" s="1626"/>
      <c r="AC306" s="1621"/>
      <c r="AD306" s="1622"/>
      <c r="AE306" s="693" t="s">
        <v>344</v>
      </c>
      <c r="AF306" s="1979"/>
      <c r="AG306" s="1980"/>
      <c r="AI306" s="134" t="s">
        <v>370</v>
      </c>
      <c r="AJ306" s="937" t="b">
        <f>K306&gt;=20</f>
        <v>0</v>
      </c>
      <c r="AK306" s="937" t="b">
        <f>OR(Q306&gt;=20,AJ306)</f>
        <v>0</v>
      </c>
      <c r="AL306" s="937" t="b">
        <f>OR(W306&gt;=20,AK306)</f>
        <v>0</v>
      </c>
      <c r="AM306" s="937" t="b">
        <f>OR(AC306&gt;=20,AL306)</f>
        <v>0</v>
      </c>
      <c r="AN306" s="937" t="b">
        <f>OR(K307&gt;=20,AM306)</f>
        <v>0</v>
      </c>
      <c r="AO306" s="937" t="b">
        <f>OR(Q307&gt;=20,AN306)</f>
        <v>0</v>
      </c>
      <c r="AP306" s="937" t="b">
        <f>OR(W307&gt;=20,AO306)</f>
        <v>0</v>
      </c>
      <c r="AQ306" s="937" t="b">
        <f>OR(AC307&gt;=20,AP306)</f>
        <v>0</v>
      </c>
      <c r="AR306" s="937" t="b">
        <f>OR(K308&gt;=20,AQ306)</f>
        <v>0</v>
      </c>
      <c r="AS306" s="937" t="b">
        <f>OR(Q308&gt;=20,AR306)</f>
        <v>0</v>
      </c>
      <c r="AT306" s="937" t="b">
        <f>OR(W308&gt;=20,AS306)</f>
        <v>0</v>
      </c>
      <c r="AU306" s="937" t="b">
        <f>OR(AC308&gt;=20,AT306)</f>
        <v>0</v>
      </c>
      <c r="AV306" s="77"/>
      <c r="BB306" s="73"/>
      <c r="BC306" s="73"/>
      <c r="BD306" s="73"/>
      <c r="BE306" s="73"/>
      <c r="BF306" s="73"/>
      <c r="BG306" s="73"/>
      <c r="BH306" s="73"/>
      <c r="BI306" s="73"/>
      <c r="BJ306" s="73"/>
    </row>
    <row r="307" spans="1:67" ht="15" customHeight="1">
      <c r="A307" s="1423"/>
      <c r="B307" s="1423"/>
      <c r="C307" s="1423"/>
      <c r="D307" s="1423"/>
      <c r="E307" s="1423"/>
      <c r="F307" s="1630"/>
      <c r="G307" s="1539"/>
      <c r="H307" s="1625" t="s">
        <v>371</v>
      </c>
      <c r="I307" s="1625"/>
      <c r="J307" s="1626"/>
      <c r="K307" s="1621"/>
      <c r="L307" s="1622"/>
      <c r="M307" s="691" t="s">
        <v>344</v>
      </c>
      <c r="N307" s="1625" t="s">
        <v>372</v>
      </c>
      <c r="O307" s="1625"/>
      <c r="P307" s="1626"/>
      <c r="Q307" s="1621"/>
      <c r="R307" s="1622"/>
      <c r="S307" s="691" t="s">
        <v>344</v>
      </c>
      <c r="T307" s="1625" t="s">
        <v>373</v>
      </c>
      <c r="U307" s="1625"/>
      <c r="V307" s="1626"/>
      <c r="W307" s="1621"/>
      <c r="X307" s="1622"/>
      <c r="Y307" s="691" t="s">
        <v>344</v>
      </c>
      <c r="Z307" s="1625" t="s">
        <v>374</v>
      </c>
      <c r="AA307" s="1625"/>
      <c r="AB307" s="1626"/>
      <c r="AC307" s="1621"/>
      <c r="AD307" s="1622"/>
      <c r="AE307" s="693" t="s">
        <v>344</v>
      </c>
      <c r="AF307" s="1979"/>
      <c r="AG307" s="1980"/>
      <c r="AI307" s="75"/>
      <c r="AJ307" s="74"/>
      <c r="AK307" s="74"/>
      <c r="AL307" s="74"/>
      <c r="AM307" s="74"/>
      <c r="AN307" s="74"/>
      <c r="AO307" s="74"/>
      <c r="AP307" s="74"/>
      <c r="AQ307" s="74"/>
      <c r="AR307" s="74"/>
      <c r="AS307" s="74"/>
      <c r="AT307" s="74"/>
      <c r="AU307" s="74"/>
      <c r="BB307" s="73"/>
      <c r="BC307" s="73"/>
      <c r="BD307" s="73"/>
      <c r="BE307" s="73"/>
      <c r="BF307" s="73"/>
      <c r="BG307" s="73"/>
      <c r="BH307" s="73"/>
      <c r="BI307" s="73"/>
      <c r="BJ307" s="73"/>
    </row>
    <row r="308" spans="1:67" ht="15" customHeight="1">
      <c r="A308" s="1423"/>
      <c r="B308" s="1423"/>
      <c r="C308" s="1423"/>
      <c r="D308" s="1423"/>
      <c r="E308" s="1423"/>
      <c r="F308" s="1630"/>
      <c r="G308" s="1539"/>
      <c r="H308" s="1689" t="s">
        <v>375</v>
      </c>
      <c r="I308" s="1689"/>
      <c r="J308" s="1690"/>
      <c r="K308" s="1691"/>
      <c r="L308" s="1692"/>
      <c r="M308" s="692" t="s">
        <v>344</v>
      </c>
      <c r="N308" s="1689" t="s">
        <v>376</v>
      </c>
      <c r="O308" s="1689"/>
      <c r="P308" s="1690"/>
      <c r="Q308" s="1691"/>
      <c r="R308" s="1692"/>
      <c r="S308" s="692" t="s">
        <v>344</v>
      </c>
      <c r="T308" s="1689" t="s">
        <v>377</v>
      </c>
      <c r="U308" s="1689"/>
      <c r="V308" s="1690"/>
      <c r="W308" s="1691"/>
      <c r="X308" s="1692"/>
      <c r="Y308" s="692" t="s">
        <v>344</v>
      </c>
      <c r="Z308" s="1689" t="s">
        <v>378</v>
      </c>
      <c r="AA308" s="1689"/>
      <c r="AB308" s="1690"/>
      <c r="AC308" s="1691"/>
      <c r="AD308" s="1692"/>
      <c r="AE308" s="694" t="s">
        <v>344</v>
      </c>
      <c r="AF308" s="1979"/>
      <c r="AG308" s="1980"/>
      <c r="AI308" s="73"/>
    </row>
    <row r="309" spans="1:67" ht="60" customHeight="1">
      <c r="A309" s="1423"/>
      <c r="B309" s="1423"/>
      <c r="C309" s="1423"/>
      <c r="D309" s="1423"/>
      <c r="E309" s="1423"/>
      <c r="F309" s="1647" t="s">
        <v>379</v>
      </c>
      <c r="G309" s="1648"/>
      <c r="H309" s="1991" t="s">
        <v>1528</v>
      </c>
      <c r="I309" s="1991"/>
      <c r="J309" s="1991"/>
      <c r="K309" s="1991"/>
      <c r="L309" s="1991"/>
      <c r="M309" s="1991"/>
      <c r="N309" s="1991"/>
      <c r="O309" s="1991"/>
      <c r="P309" s="1991"/>
      <c r="Q309" s="1991"/>
      <c r="R309" s="1991"/>
      <c r="S309" s="1991"/>
      <c r="T309" s="1991"/>
      <c r="U309" s="1991"/>
      <c r="V309" s="1991"/>
      <c r="W309" s="1991"/>
      <c r="X309" s="1991"/>
      <c r="Y309" s="1991"/>
      <c r="Z309" s="1991"/>
      <c r="AA309" s="1991"/>
      <c r="AB309" s="1991"/>
      <c r="AC309" s="1991"/>
      <c r="AD309" s="1991"/>
      <c r="AE309" s="1992"/>
      <c r="AF309" s="1977" t="str">
        <f>IFERROR(IF(OR(HLOOKUP(AI316,AJ311:AU312,2,FALSE),AND(AI316=1,AK312)),"○","×"),"×")</f>
        <v>×</v>
      </c>
      <c r="AG309" s="1978"/>
    </row>
    <row r="310" spans="1:67" ht="20.100000000000001" hidden="1" customHeight="1">
      <c r="A310" s="1423"/>
      <c r="B310" s="1423"/>
      <c r="C310" s="1423"/>
      <c r="D310" s="1423"/>
      <c r="E310" s="1423"/>
      <c r="F310" s="1630"/>
      <c r="G310" s="1539"/>
      <c r="H310" s="1695" t="s">
        <v>1164</v>
      </c>
      <c r="I310" s="1695"/>
      <c r="J310" s="1695"/>
      <c r="K310" s="1695"/>
      <c r="L310" s="1695"/>
      <c r="M310" s="1695"/>
      <c r="N310" s="1695"/>
      <c r="O310" s="1695"/>
      <c r="P310" s="1695"/>
      <c r="Q310" s="1695"/>
      <c r="R310" s="1695"/>
      <c r="S310" s="1695"/>
      <c r="T310" s="1695"/>
      <c r="U310" s="1695"/>
      <c r="V310" s="1695"/>
      <c r="W310" s="1695"/>
      <c r="X310" s="1695"/>
      <c r="Y310" s="1695"/>
      <c r="Z310" s="1695"/>
      <c r="AA310" s="1695"/>
      <c r="AB310" s="2002"/>
      <c r="AC310" s="2003"/>
      <c r="AD310" s="2003"/>
      <c r="AE310" s="2003"/>
      <c r="AF310" s="1979"/>
      <c r="AG310" s="1980"/>
      <c r="AI310" s="134" t="s">
        <v>364</v>
      </c>
      <c r="AJ310" s="81">
        <v>4</v>
      </c>
      <c r="AK310" s="937">
        <v>5</v>
      </c>
      <c r="AL310" s="937">
        <v>6</v>
      </c>
      <c r="AM310" s="937">
        <v>7</v>
      </c>
      <c r="AN310" s="937">
        <v>8</v>
      </c>
      <c r="AO310" s="937">
        <v>9</v>
      </c>
      <c r="AP310" s="937">
        <v>10</v>
      </c>
      <c r="AQ310" s="937">
        <v>11</v>
      </c>
      <c r="AR310" s="937">
        <v>12</v>
      </c>
      <c r="AS310" s="937">
        <v>1</v>
      </c>
      <c r="AT310" s="937">
        <v>2</v>
      </c>
      <c r="AU310" s="937">
        <v>3</v>
      </c>
      <c r="AV310" s="77"/>
    </row>
    <row r="311" spans="1:67" ht="15" customHeight="1">
      <c r="A311" s="1423"/>
      <c r="B311" s="1423"/>
      <c r="C311" s="1423"/>
      <c r="D311" s="1423"/>
      <c r="E311" s="1423"/>
      <c r="F311" s="1630"/>
      <c r="G311" s="1539"/>
      <c r="H311" s="1971" t="str">
        <f>IF(AB310="○","昨年度","今年度")&amp;"の各月延べ利用数(20人/月が該当月)"</f>
        <v>今年度の各月延べ利用数(20人/月が該当月)</v>
      </c>
      <c r="I311" s="1971"/>
      <c r="J311" s="1971"/>
      <c r="K311" s="1971"/>
      <c r="L311" s="1971"/>
      <c r="M311" s="1971"/>
      <c r="N311" s="1971"/>
      <c r="O311" s="1971"/>
      <c r="P311" s="1971"/>
      <c r="Q311" s="1971"/>
      <c r="R311" s="1971"/>
      <c r="S311" s="1971"/>
      <c r="T311" s="1971"/>
      <c r="U311" s="1971"/>
      <c r="V311" s="1971"/>
      <c r="W311" s="1971"/>
      <c r="X311" s="1971"/>
      <c r="Y311" s="1971"/>
      <c r="Z311" s="1971"/>
      <c r="AA311" s="1971"/>
      <c r="AB311" s="1972"/>
      <c r="AC311" s="1972"/>
      <c r="AD311" s="1972"/>
      <c r="AE311" s="1973"/>
      <c r="AF311" s="1979"/>
      <c r="AG311" s="1980"/>
      <c r="AI311" s="134" t="s">
        <v>365</v>
      </c>
      <c r="AJ311" s="134">
        <v>1</v>
      </c>
      <c r="AK311" s="134">
        <v>2</v>
      </c>
      <c r="AL311" s="134">
        <v>3</v>
      </c>
      <c r="AM311" s="134">
        <v>4</v>
      </c>
      <c r="AN311" s="134">
        <v>5</v>
      </c>
      <c r="AO311" s="134">
        <v>6</v>
      </c>
      <c r="AP311" s="134">
        <v>7</v>
      </c>
      <c r="AQ311" s="134">
        <v>8</v>
      </c>
      <c r="AR311" s="134">
        <v>9</v>
      </c>
      <c r="AS311" s="134">
        <v>10</v>
      </c>
      <c r="AT311" s="134">
        <v>11</v>
      </c>
      <c r="AU311" s="134">
        <v>12</v>
      </c>
      <c r="AV311" s="66"/>
    </row>
    <row r="312" spans="1:67" ht="15" customHeight="1">
      <c r="A312" s="1423"/>
      <c r="B312" s="1423"/>
      <c r="C312" s="1423"/>
      <c r="D312" s="1423"/>
      <c r="E312" s="1423"/>
      <c r="F312" s="1630"/>
      <c r="G312" s="1539"/>
      <c r="H312" s="1625" t="s">
        <v>366</v>
      </c>
      <c r="I312" s="1625"/>
      <c r="J312" s="1626"/>
      <c r="K312" s="1621"/>
      <c r="L312" s="1622"/>
      <c r="M312" s="691" t="s">
        <v>344</v>
      </c>
      <c r="N312" s="1625" t="s">
        <v>367</v>
      </c>
      <c r="O312" s="1625"/>
      <c r="P312" s="1626"/>
      <c r="Q312" s="1621"/>
      <c r="R312" s="1622"/>
      <c r="S312" s="691" t="s">
        <v>344</v>
      </c>
      <c r="T312" s="1625" t="s">
        <v>368</v>
      </c>
      <c r="U312" s="1625"/>
      <c r="V312" s="1626"/>
      <c r="W312" s="1621"/>
      <c r="X312" s="1622"/>
      <c r="Y312" s="691" t="s">
        <v>344</v>
      </c>
      <c r="Z312" s="1625" t="s">
        <v>369</v>
      </c>
      <c r="AA312" s="1625"/>
      <c r="AB312" s="1626"/>
      <c r="AC312" s="1621"/>
      <c r="AD312" s="1622"/>
      <c r="AE312" s="693" t="s">
        <v>344</v>
      </c>
      <c r="AF312" s="1979"/>
      <c r="AG312" s="1980"/>
      <c r="AI312" s="134" t="s">
        <v>370</v>
      </c>
      <c r="AJ312" s="937" t="b">
        <f>K312&gt;=20</f>
        <v>0</v>
      </c>
      <c r="AK312" s="937" t="b">
        <f>OR(Q312&gt;=20,AJ312)</f>
        <v>0</v>
      </c>
      <c r="AL312" s="937" t="b">
        <f>OR(W312&gt;=20,AK312)</f>
        <v>0</v>
      </c>
      <c r="AM312" s="937" t="b">
        <f>OR(AC312&gt;=20,AL312)</f>
        <v>0</v>
      </c>
      <c r="AN312" s="937" t="b">
        <f>OR(K313&gt;=20,AM312)</f>
        <v>0</v>
      </c>
      <c r="AO312" s="937" t="b">
        <f>OR(Q313&gt;=20,AN312)</f>
        <v>0</v>
      </c>
      <c r="AP312" s="937" t="b">
        <f>OR(W313&gt;=20,AO312)</f>
        <v>0</v>
      </c>
      <c r="AQ312" s="937" t="b">
        <f>OR(AC313&gt;=20,AP312)</f>
        <v>0</v>
      </c>
      <c r="AR312" s="937" t="b">
        <f>OR(K314&gt;=20,AQ312)</f>
        <v>0</v>
      </c>
      <c r="AS312" s="937" t="b">
        <f>OR(Q314&gt;=20,AR312)</f>
        <v>0</v>
      </c>
      <c r="AT312" s="937" t="b">
        <f>OR(W314&gt;=20,AS312)</f>
        <v>0</v>
      </c>
      <c r="AU312" s="937" t="b">
        <f>OR(AC314&gt;=20,AT312)</f>
        <v>0</v>
      </c>
      <c r="AV312" s="77"/>
    </row>
    <row r="313" spans="1:67" ht="15" customHeight="1">
      <c r="A313" s="1423"/>
      <c r="B313" s="1423"/>
      <c r="C313" s="1423"/>
      <c r="D313" s="1423"/>
      <c r="E313" s="1423"/>
      <c r="F313" s="1630"/>
      <c r="G313" s="1539"/>
      <c r="H313" s="1625" t="s">
        <v>371</v>
      </c>
      <c r="I313" s="1625"/>
      <c r="J313" s="1626"/>
      <c r="K313" s="1621"/>
      <c r="L313" s="1622"/>
      <c r="M313" s="691" t="s">
        <v>344</v>
      </c>
      <c r="N313" s="1625" t="s">
        <v>372</v>
      </c>
      <c r="O313" s="1625"/>
      <c r="P313" s="1626"/>
      <c r="Q313" s="1621"/>
      <c r="R313" s="1622"/>
      <c r="S313" s="691" t="s">
        <v>344</v>
      </c>
      <c r="T313" s="1625" t="s">
        <v>373</v>
      </c>
      <c r="U313" s="1625"/>
      <c r="V313" s="1626"/>
      <c r="W313" s="1621"/>
      <c r="X313" s="1622"/>
      <c r="Y313" s="691" t="s">
        <v>344</v>
      </c>
      <c r="Z313" s="1625" t="s">
        <v>374</v>
      </c>
      <c r="AA313" s="1625"/>
      <c r="AB313" s="1626"/>
      <c r="AC313" s="1621"/>
      <c r="AD313" s="1622"/>
      <c r="AE313" s="693" t="s">
        <v>344</v>
      </c>
      <c r="AF313" s="1979"/>
      <c r="AG313" s="1980"/>
      <c r="AI313" s="75"/>
      <c r="AJ313" s="74"/>
      <c r="AK313" s="74"/>
      <c r="AL313" s="74"/>
      <c r="AM313" s="74"/>
      <c r="AN313" s="74"/>
      <c r="AO313" s="74"/>
      <c r="AP313" s="74"/>
      <c r="AQ313" s="74"/>
      <c r="AR313" s="74"/>
      <c r="AS313" s="74"/>
      <c r="AT313" s="74"/>
      <c r="AU313" s="74"/>
    </row>
    <row r="314" spans="1:67" ht="15" customHeight="1">
      <c r="A314" s="1423"/>
      <c r="B314" s="1423"/>
      <c r="C314" s="1423"/>
      <c r="D314" s="1423"/>
      <c r="E314" s="1423"/>
      <c r="F314" s="1630"/>
      <c r="G314" s="1539"/>
      <c r="H314" s="1689" t="s">
        <v>375</v>
      </c>
      <c r="I314" s="1689"/>
      <c r="J314" s="1690"/>
      <c r="K314" s="1691"/>
      <c r="L314" s="1692"/>
      <c r="M314" s="692" t="s">
        <v>344</v>
      </c>
      <c r="N314" s="1689" t="s">
        <v>376</v>
      </c>
      <c r="O314" s="1689"/>
      <c r="P314" s="1690"/>
      <c r="Q314" s="1691"/>
      <c r="R314" s="1692"/>
      <c r="S314" s="692" t="s">
        <v>344</v>
      </c>
      <c r="T314" s="1689" t="s">
        <v>377</v>
      </c>
      <c r="U314" s="1689"/>
      <c r="V314" s="1690"/>
      <c r="W314" s="1691"/>
      <c r="X314" s="1692"/>
      <c r="Y314" s="692" t="s">
        <v>344</v>
      </c>
      <c r="Z314" s="1689" t="s">
        <v>378</v>
      </c>
      <c r="AA314" s="1689"/>
      <c r="AB314" s="1690"/>
      <c r="AC314" s="1691"/>
      <c r="AD314" s="1692"/>
      <c r="AE314" s="694" t="s">
        <v>344</v>
      </c>
      <c r="AF314" s="1979"/>
      <c r="AG314" s="1980"/>
      <c r="AI314" s="73"/>
    </row>
    <row r="315" spans="1:67" ht="15" customHeight="1">
      <c r="A315" s="1423"/>
      <c r="B315" s="1423"/>
      <c r="C315" s="1423"/>
      <c r="D315" s="1423"/>
      <c r="E315" s="1423"/>
      <c r="F315" s="1647" t="s">
        <v>380</v>
      </c>
      <c r="G315" s="1648"/>
      <c r="H315" s="1956" t="s">
        <v>527</v>
      </c>
      <c r="I315" s="1956"/>
      <c r="J315" s="1956"/>
      <c r="K315" s="1956"/>
      <c r="L315" s="1956"/>
      <c r="M315" s="1956"/>
      <c r="N315" s="1956"/>
      <c r="O315" s="1956"/>
      <c r="P315" s="1956"/>
      <c r="Q315" s="1956"/>
      <c r="R315" s="1956"/>
      <c r="S315" s="1956"/>
      <c r="T315" s="1956"/>
      <c r="U315" s="1956"/>
      <c r="V315" s="1956"/>
      <c r="W315" s="1956"/>
      <c r="X315" s="1956"/>
      <c r="Y315" s="1956"/>
      <c r="Z315" s="1956"/>
      <c r="AA315" s="1956"/>
      <c r="AB315" s="1956"/>
      <c r="AC315" s="1956"/>
      <c r="AD315" s="1956"/>
      <c r="AE315" s="1957"/>
      <c r="AF315" s="1647" t="str">
        <f>IF(AJ316&lt;=AI316,"○","×")</f>
        <v>×</v>
      </c>
      <c r="AG315" s="1966"/>
      <c r="AI315" s="134" t="s">
        <v>381</v>
      </c>
      <c r="AJ315" s="134" t="s">
        <v>382</v>
      </c>
      <c r="BN315" s="109"/>
    </row>
    <row r="316" spans="1:67" ht="15" customHeight="1">
      <c r="A316" s="1423"/>
      <c r="B316" s="1423"/>
      <c r="C316" s="1423"/>
      <c r="D316" s="1423"/>
      <c r="E316" s="1423"/>
      <c r="F316" s="1693"/>
      <c r="G316" s="1694"/>
      <c r="H316" s="2081" t="s">
        <v>345</v>
      </c>
      <c r="I316" s="2081"/>
      <c r="J316" s="2081"/>
      <c r="K316" s="2081"/>
      <c r="L316" s="2081"/>
      <c r="M316" s="2081"/>
      <c r="N316" s="2081"/>
      <c r="O316" s="2081"/>
      <c r="P316" s="2081"/>
      <c r="Q316" s="2081"/>
      <c r="R316" s="2081"/>
      <c r="S316" s="2081"/>
      <c r="T316" s="2081"/>
      <c r="U316" s="2081"/>
      <c r="V316" s="2081"/>
      <c r="W316" s="2081"/>
      <c r="X316" s="2081"/>
      <c r="Y316" s="2081"/>
      <c r="Z316" s="2081"/>
      <c r="AA316" s="2081"/>
      <c r="AB316" s="1764"/>
      <c r="AC316" s="1764"/>
      <c r="AD316" s="1687" t="s">
        <v>308</v>
      </c>
      <c r="AE316" s="1688"/>
      <c r="AF316" s="1693"/>
      <c r="AG316" s="1976"/>
      <c r="AI316" s="69">
        <f>IFERROR(VLOOKUP($I$10,$AL$3:$AM$14,2,FALSE),0)</f>
        <v>1</v>
      </c>
      <c r="AJ316" s="69">
        <f>IFERROR(VLOOKUP($AB$316,$AL$3:$AM$14,2,FALSE),13)</f>
        <v>13</v>
      </c>
    </row>
    <row r="317" spans="1:67" ht="15" customHeight="1">
      <c r="A317" s="1423"/>
      <c r="B317" s="1423"/>
      <c r="C317" s="1423"/>
      <c r="D317" s="1423"/>
      <c r="E317" s="1423"/>
      <c r="F317" s="1630" t="s">
        <v>384</v>
      </c>
      <c r="G317" s="1539"/>
      <c r="H317" s="1956" t="s">
        <v>526</v>
      </c>
      <c r="I317" s="1956"/>
      <c r="J317" s="1956"/>
      <c r="K317" s="1956"/>
      <c r="L317" s="1956"/>
      <c r="M317" s="1956"/>
      <c r="N317" s="1956"/>
      <c r="O317" s="1956"/>
      <c r="P317" s="1956"/>
      <c r="Q317" s="1956"/>
      <c r="R317" s="1956"/>
      <c r="S317" s="1956"/>
      <c r="T317" s="1956"/>
      <c r="U317" s="1956"/>
      <c r="V317" s="1956"/>
      <c r="W317" s="1956"/>
      <c r="X317" s="1956"/>
      <c r="Y317" s="1956"/>
      <c r="Z317" s="1956"/>
      <c r="AA317" s="1956"/>
      <c r="AB317" s="1956"/>
      <c r="AC317" s="1956"/>
      <c r="AD317" s="1956"/>
      <c r="AE317" s="1957"/>
      <c r="AF317" s="1985" t="str">
        <f>IF(AJ318&lt;=AI316,"○","×")</f>
        <v>×</v>
      </c>
      <c r="AG317" s="1986"/>
      <c r="AJ317" s="134" t="s">
        <v>382</v>
      </c>
      <c r="BN317" s="109"/>
    </row>
    <row r="318" spans="1:67" ht="15" customHeight="1">
      <c r="A318" s="1423"/>
      <c r="B318" s="1423"/>
      <c r="C318" s="1423"/>
      <c r="D318" s="1423"/>
      <c r="E318" s="1423"/>
      <c r="F318" s="1630"/>
      <c r="G318" s="1539"/>
      <c r="H318" s="1981" t="s">
        <v>383</v>
      </c>
      <c r="I318" s="1981"/>
      <c r="J318" s="1981"/>
      <c r="K318" s="1981"/>
      <c r="L318" s="1981"/>
      <c r="M318" s="1981"/>
      <c r="N318" s="1981"/>
      <c r="O318" s="1981"/>
      <c r="P318" s="1981"/>
      <c r="Q318" s="1981"/>
      <c r="R318" s="1981"/>
      <c r="S318" s="1981"/>
      <c r="T318" s="1981"/>
      <c r="U318" s="1981"/>
      <c r="V318" s="1981"/>
      <c r="W318" s="1981"/>
      <c r="X318" s="1981"/>
      <c r="Y318" s="1981"/>
      <c r="Z318" s="1981"/>
      <c r="AA318" s="1981"/>
      <c r="AB318" s="1628"/>
      <c r="AC318" s="1628"/>
      <c r="AD318" s="1541" t="s">
        <v>308</v>
      </c>
      <c r="AE318" s="1541"/>
      <c r="AF318" s="1987"/>
      <c r="AG318" s="1988"/>
      <c r="AI318" s="66"/>
      <c r="AJ318" s="69">
        <f>IFERROR(VLOOKUP(AB318,$AL$3:$AM$14,2,FALSE),13)</f>
        <v>13</v>
      </c>
      <c r="BN318" s="109"/>
    </row>
    <row r="319" spans="1:67" ht="15" customHeight="1">
      <c r="A319" s="1423"/>
      <c r="B319" s="1423"/>
      <c r="C319" s="1423"/>
      <c r="D319" s="1423"/>
      <c r="E319" s="1423"/>
      <c r="F319" s="1647" t="s">
        <v>523</v>
      </c>
      <c r="G319" s="1648"/>
      <c r="H319" s="1999" t="s">
        <v>524</v>
      </c>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1999"/>
      <c r="AE319" s="1999"/>
      <c r="AF319" s="1647" t="str">
        <f>IF(AND(AI320,AI322,AI323,AI324),"○","×")</f>
        <v>×</v>
      </c>
      <c r="AG319" s="1966"/>
      <c r="AI319" s="66"/>
      <c r="BO319" s="109"/>
    </row>
    <row r="320" spans="1:67" ht="15" customHeight="1">
      <c r="A320" s="1423"/>
      <c r="B320" s="1423"/>
      <c r="C320" s="1423"/>
      <c r="D320" s="1423"/>
      <c r="E320" s="1423"/>
      <c r="F320" s="1630"/>
      <c r="G320" s="1539"/>
      <c r="H320" s="1410" t="s">
        <v>548</v>
      </c>
      <c r="I320" s="1974" t="s">
        <v>539</v>
      </c>
      <c r="J320" s="1974"/>
      <c r="K320" s="1974"/>
      <c r="L320" s="1974"/>
      <c r="M320" s="1974"/>
      <c r="N320" s="1974"/>
      <c r="O320" s="1974"/>
      <c r="P320" s="1974"/>
      <c r="Q320" s="1974"/>
      <c r="R320" s="1974"/>
      <c r="S320" s="1974"/>
      <c r="T320" s="1974"/>
      <c r="U320" s="1974"/>
      <c r="V320" s="1974"/>
      <c r="W320" s="1974"/>
      <c r="X320" s="1974"/>
      <c r="Y320" s="1974"/>
      <c r="Z320" s="1974"/>
      <c r="AA320" s="1975"/>
      <c r="AB320" s="2006" t="str">
        <f>IF(ISTEXT(P321),"○","×")</f>
        <v>×</v>
      </c>
      <c r="AC320" s="2006"/>
      <c r="AD320" s="2006"/>
      <c r="AE320" s="2007"/>
      <c r="AF320" s="1630"/>
      <c r="AG320" s="1631"/>
      <c r="AI320" s="937" t="b">
        <f>AB320="○"</f>
        <v>0</v>
      </c>
      <c r="BO320" s="109"/>
    </row>
    <row r="321" spans="1:67" ht="15" customHeight="1">
      <c r="A321" s="1423"/>
      <c r="B321" s="1423"/>
      <c r="C321" s="1423"/>
      <c r="D321" s="1423"/>
      <c r="E321" s="1423"/>
      <c r="F321" s="1630"/>
      <c r="G321" s="1539"/>
      <c r="H321" s="2075"/>
      <c r="I321" s="2026" t="s">
        <v>525</v>
      </c>
      <c r="J321" s="2026"/>
      <c r="K321" s="2026"/>
      <c r="L321" s="2026"/>
      <c r="M321" s="2026"/>
      <c r="N321" s="2026"/>
      <c r="O321" s="2026"/>
      <c r="P321" s="2123"/>
      <c r="Q321" s="2123"/>
      <c r="R321" s="2123"/>
      <c r="S321" s="2123"/>
      <c r="T321" s="2123"/>
      <c r="U321" s="2123"/>
      <c r="V321" s="2123"/>
      <c r="W321" s="2123"/>
      <c r="X321" s="2123"/>
      <c r="Y321" s="2123"/>
      <c r="Z321" s="2123"/>
      <c r="AA321" s="2124"/>
      <c r="AB321" s="2026"/>
      <c r="AC321" s="2026"/>
      <c r="AD321" s="2026"/>
      <c r="AE321" s="2108"/>
      <c r="AF321" s="1630"/>
      <c r="AG321" s="1631"/>
      <c r="AI321" s="66"/>
      <c r="BO321" s="109"/>
    </row>
    <row r="322" spans="1:67" ht="24.95" customHeight="1">
      <c r="A322" s="1423"/>
      <c r="B322" s="1423"/>
      <c r="C322" s="1423"/>
      <c r="D322" s="1423"/>
      <c r="E322" s="1423"/>
      <c r="F322" s="1630"/>
      <c r="G322" s="1539"/>
      <c r="H322" s="1539" t="s">
        <v>353</v>
      </c>
      <c r="I322" s="1429" t="s">
        <v>1159</v>
      </c>
      <c r="J322" s="1429"/>
      <c r="K322" s="1429"/>
      <c r="L322" s="1429"/>
      <c r="M322" s="1429"/>
      <c r="N322" s="1429"/>
      <c r="O322" s="1429"/>
      <c r="P322" s="1429"/>
      <c r="Q322" s="1429"/>
      <c r="R322" s="1429"/>
      <c r="S322" s="1429"/>
      <c r="T322" s="1429"/>
      <c r="U322" s="1429"/>
      <c r="V322" s="1429"/>
      <c r="W322" s="1429"/>
      <c r="X322" s="1429"/>
      <c r="Y322" s="1429"/>
      <c r="Z322" s="1429"/>
      <c r="AA322" s="2004"/>
      <c r="AB322" s="1541" t="str">
        <f>IF(AI323,'(別紙7)主幹教諭'!D9,"×")</f>
        <v>×</v>
      </c>
      <c r="AC322" s="1541"/>
      <c r="AD322" s="1541"/>
      <c r="AE322" s="1541"/>
      <c r="AF322" s="1630"/>
      <c r="AG322" s="1631"/>
      <c r="AI322" s="937" t="b">
        <f>AB322="○"</f>
        <v>0</v>
      </c>
      <c r="AJ322" s="134" t="s">
        <v>382</v>
      </c>
      <c r="BO322" s="109"/>
    </row>
    <row r="323" spans="1:67" ht="15" customHeight="1">
      <c r="A323" s="1423"/>
      <c r="B323" s="1423"/>
      <c r="C323" s="1423"/>
      <c r="D323" s="1423"/>
      <c r="E323" s="1423"/>
      <c r="F323" s="1630"/>
      <c r="G323" s="1539"/>
      <c r="H323" s="1539"/>
      <c r="I323" s="1541" t="s">
        <v>919</v>
      </c>
      <c r="J323" s="1541"/>
      <c r="K323" s="1541"/>
      <c r="L323" s="1541"/>
      <c r="M323" s="1541"/>
      <c r="N323" s="1541"/>
      <c r="O323" s="1541"/>
      <c r="P323" s="1541" t="str">
        <f>'(別紙7)主幹教諭'!I9</f>
        <v/>
      </c>
      <c r="Q323" s="1541"/>
      <c r="R323" s="1541"/>
      <c r="S323" s="1541"/>
      <c r="T323" s="1541"/>
      <c r="U323" s="1541"/>
      <c r="V323" s="1541"/>
      <c r="W323" s="1541"/>
      <c r="X323" s="1541"/>
      <c r="Y323" s="1541"/>
      <c r="Z323" s="1541"/>
      <c r="AA323" s="110" t="s">
        <v>605</v>
      </c>
      <c r="AB323" s="1541"/>
      <c r="AC323" s="1541"/>
      <c r="AD323" s="1541"/>
      <c r="AE323" s="1541"/>
      <c r="AF323" s="1630"/>
      <c r="AG323" s="1631"/>
      <c r="AI323" s="937" t="b">
        <f>AJ323&lt;=AI316</f>
        <v>0</v>
      </c>
      <c r="AJ323" s="69">
        <f>IFERROR(VLOOKUP(P323,$AL$3:$AM$14,2,FALSE),13)</f>
        <v>13</v>
      </c>
      <c r="BO323" s="109"/>
    </row>
    <row r="324" spans="1:67" ht="50.25" customHeight="1">
      <c r="A324" s="1423"/>
      <c r="B324" s="1423"/>
      <c r="C324" s="1423"/>
      <c r="D324" s="1423"/>
      <c r="E324" s="1423"/>
      <c r="F324" s="1630"/>
      <c r="G324" s="1539"/>
      <c r="H324" s="1410" t="s">
        <v>547</v>
      </c>
      <c r="I324" s="2114" t="s">
        <v>1529</v>
      </c>
      <c r="J324" s="2114"/>
      <c r="K324" s="2114"/>
      <c r="L324" s="2114"/>
      <c r="M324" s="2114"/>
      <c r="N324" s="2114"/>
      <c r="O324" s="2114"/>
      <c r="P324" s="2114"/>
      <c r="Q324" s="2114"/>
      <c r="R324" s="2114"/>
      <c r="S324" s="2114"/>
      <c r="T324" s="2114"/>
      <c r="U324" s="2114"/>
      <c r="V324" s="2114"/>
      <c r="W324" s="2090"/>
      <c r="X324" s="2090"/>
      <c r="Y324" s="2090"/>
      <c r="Z324" s="2090"/>
      <c r="AA324" s="2091"/>
      <c r="AB324" s="2006" t="str">
        <f>IF(AND(OR(W324="編成・実施している",W324="編成中"),ISTEXT(P325)),"○","×")</f>
        <v>×</v>
      </c>
      <c r="AC324" s="2006"/>
      <c r="AD324" s="2006"/>
      <c r="AE324" s="2007"/>
      <c r="AF324" s="1630"/>
      <c r="AG324" s="1631"/>
      <c r="AI324" s="937" t="b">
        <f>AB324="○"</f>
        <v>0</v>
      </c>
      <c r="BO324" s="109"/>
    </row>
    <row r="325" spans="1:67" ht="50.1" customHeight="1">
      <c r="A325" s="1423"/>
      <c r="B325" s="1423"/>
      <c r="C325" s="1423"/>
      <c r="D325" s="1423"/>
      <c r="E325" s="1423"/>
      <c r="F325" s="1630"/>
      <c r="G325" s="1998"/>
      <c r="H325" s="1998"/>
      <c r="I325" s="2005" t="str">
        <f>IF(OR(W324="",W324="×"),"5歳児から小学校1年生の2年間(2年以上を含む。）のカリキュラムの例示",(IF(W324="編成・実施している","5歳児から小学校1年生の2年間(2年以上を含む。）のカリキュラムの例示","編成に係るスケジュール等を記載")))</f>
        <v>5歳児から小学校1年生の2年間(2年以上を含む。）のカリキュラムの例示</v>
      </c>
      <c r="J325" s="2005"/>
      <c r="K325" s="2005"/>
      <c r="L325" s="2005"/>
      <c r="M325" s="2005"/>
      <c r="N325" s="2005"/>
      <c r="O325" s="2005"/>
      <c r="P325" s="2000"/>
      <c r="Q325" s="2000"/>
      <c r="R325" s="2000"/>
      <c r="S325" s="2000"/>
      <c r="T325" s="2000"/>
      <c r="U325" s="2000"/>
      <c r="V325" s="2000"/>
      <c r="W325" s="2000"/>
      <c r="X325" s="2000"/>
      <c r="Y325" s="2000"/>
      <c r="Z325" s="2000"/>
      <c r="AA325" s="2001"/>
      <c r="AB325" s="1405"/>
      <c r="AC325" s="1405"/>
      <c r="AD325" s="1405"/>
      <c r="AE325" s="1406"/>
      <c r="AF325" s="1630"/>
      <c r="AG325" s="1631"/>
      <c r="AI325" s="836" t="s">
        <v>1582</v>
      </c>
      <c r="BO325" s="109"/>
    </row>
    <row r="326" spans="1:67" ht="37.5" customHeight="1">
      <c r="A326" s="1423"/>
      <c r="B326" s="1423"/>
      <c r="C326" s="1423"/>
      <c r="D326" s="1423"/>
      <c r="E326" s="1423"/>
      <c r="F326" s="1647" t="s">
        <v>1530</v>
      </c>
      <c r="G326" s="1648"/>
      <c r="H326" s="1965" t="s">
        <v>1532</v>
      </c>
      <c r="I326" s="1956"/>
      <c r="J326" s="1956"/>
      <c r="K326" s="1956"/>
      <c r="L326" s="1956"/>
      <c r="M326" s="1956"/>
      <c r="N326" s="1956"/>
      <c r="O326" s="1956"/>
      <c r="P326" s="1956"/>
      <c r="Q326" s="1956"/>
      <c r="R326" s="1956"/>
      <c r="S326" s="1956"/>
      <c r="T326" s="1956"/>
      <c r="U326" s="1956"/>
      <c r="V326" s="1956"/>
      <c r="W326" s="1956"/>
      <c r="X326" s="1956"/>
      <c r="Y326" s="1956"/>
      <c r="Z326" s="1956"/>
      <c r="AA326" s="1956"/>
      <c r="AB326" s="1956"/>
      <c r="AC326" s="1956"/>
      <c r="AD326" s="1956"/>
      <c r="AE326" s="1956"/>
      <c r="AF326" s="1647" t="str">
        <f>IF(AI328,"○","×")</f>
        <v>×</v>
      </c>
      <c r="AG326" s="1966"/>
      <c r="AI326" s="1312" t="s">
        <v>1583</v>
      </c>
      <c r="BO326" s="109"/>
    </row>
    <row r="327" spans="1:67" ht="36.75" customHeight="1">
      <c r="A327" s="1423"/>
      <c r="B327" s="1423"/>
      <c r="C327" s="1423"/>
      <c r="D327" s="1423"/>
      <c r="E327" s="1423"/>
      <c r="F327" s="1630"/>
      <c r="G327" s="1998"/>
      <c r="H327" s="2029" t="s">
        <v>1533</v>
      </c>
      <c r="I327" s="2029"/>
      <c r="J327" s="2029"/>
      <c r="K327" s="2029"/>
      <c r="L327" s="2029"/>
      <c r="M327" s="2029"/>
      <c r="N327" s="2029"/>
      <c r="O327" s="2029"/>
      <c r="P327" s="2029"/>
      <c r="Q327" s="2029"/>
      <c r="R327" s="2029"/>
      <c r="S327" s="2029"/>
      <c r="T327" s="2029"/>
      <c r="U327" s="2029"/>
      <c r="V327" s="2029"/>
      <c r="W327" s="2029"/>
      <c r="X327" s="2029"/>
      <c r="Y327" s="2029"/>
      <c r="Z327" s="2029"/>
      <c r="AA327" s="2029"/>
      <c r="AB327" s="2029"/>
      <c r="AC327" s="2029"/>
      <c r="AD327" s="2029"/>
      <c r="AE327" s="2029"/>
      <c r="AF327" s="1630"/>
      <c r="AG327" s="1631"/>
      <c r="AI327" s="121" t="s">
        <v>249</v>
      </c>
      <c r="BO327" s="109"/>
    </row>
    <row r="328" spans="1:67" ht="15" customHeight="1">
      <c r="A328" s="1423"/>
      <c r="B328" s="1423"/>
      <c r="C328" s="1423"/>
      <c r="D328" s="1423"/>
      <c r="E328" s="1423"/>
      <c r="F328" s="1967"/>
      <c r="G328" s="2075"/>
      <c r="H328" s="1325"/>
      <c r="I328" s="1325"/>
      <c r="J328" s="1325"/>
      <c r="K328" s="1325"/>
      <c r="L328" s="1325"/>
      <c r="M328" s="1325"/>
      <c r="N328" s="1325"/>
      <c r="O328" s="1325"/>
      <c r="P328" s="1325"/>
      <c r="Q328" s="1325"/>
      <c r="R328" s="1325"/>
      <c r="S328" s="1325"/>
      <c r="T328" s="1325"/>
      <c r="U328" s="1325"/>
      <c r="V328" s="1325"/>
      <c r="W328" s="1325"/>
      <c r="X328" s="1325"/>
      <c r="Y328" s="1325"/>
      <c r="Z328" s="1325"/>
      <c r="AA328" s="1325"/>
      <c r="AB328" s="2109"/>
      <c r="AC328" s="2109"/>
      <c r="AD328" s="2110"/>
      <c r="AE328" s="2110"/>
      <c r="AF328" s="1967"/>
      <c r="AG328" s="1968"/>
      <c r="AI328" s="1286" t="b">
        <f>AB328="○"</f>
        <v>0</v>
      </c>
      <c r="BO328" s="109"/>
    </row>
    <row r="329" spans="1:67" ht="45" customHeight="1">
      <c r="A329" s="1423"/>
      <c r="B329" s="1423"/>
      <c r="C329" s="1423"/>
      <c r="D329" s="1423"/>
      <c r="E329" s="1423"/>
      <c r="F329" s="1409" t="s">
        <v>1640</v>
      </c>
      <c r="G329" s="1410"/>
      <c r="H329" s="1413" t="s">
        <v>1638</v>
      </c>
      <c r="I329" s="1413"/>
      <c r="J329" s="1413"/>
      <c r="K329" s="1413"/>
      <c r="L329" s="1413"/>
      <c r="M329" s="1413"/>
      <c r="N329" s="1413"/>
      <c r="O329" s="1413"/>
      <c r="P329" s="1413"/>
      <c r="Q329" s="1413"/>
      <c r="R329" s="1413"/>
      <c r="S329" s="1413"/>
      <c r="T329" s="1413"/>
      <c r="U329" s="1413"/>
      <c r="V329" s="1413"/>
      <c r="W329" s="1413"/>
      <c r="X329" s="1413"/>
      <c r="Y329" s="1413"/>
      <c r="Z329" s="1413"/>
      <c r="AA329" s="1413"/>
      <c r="AB329" s="1413"/>
      <c r="AC329" s="1413"/>
      <c r="AD329" s="1413"/>
      <c r="AE329" s="1413"/>
      <c r="AF329" s="1415"/>
      <c r="AG329" s="1416"/>
      <c r="AI329" s="1420" t="b">
        <f>AF329="○"</f>
        <v>0</v>
      </c>
      <c r="AJ329" s="1419"/>
    </row>
    <row r="330" spans="1:67" ht="45" customHeight="1">
      <c r="A330" s="1424"/>
      <c r="B330" s="1424"/>
      <c r="C330" s="1424"/>
      <c r="D330" s="1424"/>
      <c r="E330" s="1424"/>
      <c r="F330" s="1411"/>
      <c r="G330" s="1412"/>
      <c r="H330" s="1414"/>
      <c r="I330" s="1414"/>
      <c r="J330" s="1414"/>
      <c r="K330" s="1414"/>
      <c r="L330" s="1414"/>
      <c r="M330" s="1414"/>
      <c r="N330" s="1414"/>
      <c r="O330" s="1414"/>
      <c r="P330" s="1414"/>
      <c r="Q330" s="1414"/>
      <c r="R330" s="1414"/>
      <c r="S330" s="1414"/>
      <c r="T330" s="1414"/>
      <c r="U330" s="1414"/>
      <c r="V330" s="1414"/>
      <c r="W330" s="1414"/>
      <c r="X330" s="1414"/>
      <c r="Y330" s="1414"/>
      <c r="Z330" s="1414"/>
      <c r="AA330" s="1414"/>
      <c r="AB330" s="1414"/>
      <c r="AC330" s="1414"/>
      <c r="AD330" s="1414"/>
      <c r="AE330" s="1414"/>
      <c r="AF330" s="1417"/>
      <c r="AG330" s="1418"/>
      <c r="AI330" s="1421"/>
      <c r="AJ330" s="1419"/>
    </row>
    <row r="331" spans="1:67" ht="24.95" customHeight="1">
      <c r="A331" s="1523" t="s">
        <v>51</v>
      </c>
      <c r="B331" s="1523"/>
      <c r="C331" s="1523"/>
      <c r="D331" s="1523"/>
      <c r="E331" s="1523"/>
      <c r="F331" s="2083" t="s">
        <v>1044</v>
      </c>
      <c r="G331" s="2084"/>
      <c r="H331" s="2084"/>
      <c r="I331" s="2084"/>
      <c r="J331" s="2084"/>
      <c r="K331" s="2084"/>
      <c r="L331" s="2084"/>
      <c r="M331" s="2084"/>
      <c r="N331" s="2084"/>
      <c r="O331" s="2084"/>
      <c r="P331" s="2084"/>
      <c r="Q331" s="2084"/>
      <c r="R331" s="2084"/>
      <c r="S331" s="2084"/>
      <c r="T331" s="2084"/>
      <c r="U331" s="2084"/>
      <c r="V331" s="2084"/>
      <c r="W331" s="2084"/>
      <c r="X331" s="2084"/>
      <c r="Y331" s="2084"/>
      <c r="Z331" s="2084"/>
      <c r="AA331" s="2084"/>
      <c r="AB331" s="2084"/>
      <c r="AC331" s="2084"/>
      <c r="AD331" s="2084"/>
      <c r="AE331" s="2084"/>
      <c r="AF331" s="2084"/>
      <c r="AG331" s="2085"/>
      <c r="AI331" s="66"/>
    </row>
    <row r="332" spans="1:67" ht="47.45" customHeight="1">
      <c r="A332" s="1523"/>
      <c r="B332" s="1523"/>
      <c r="C332" s="1523"/>
      <c r="D332" s="1523"/>
      <c r="E332" s="1523"/>
      <c r="F332" s="2111" t="s">
        <v>1366</v>
      </c>
      <c r="G332" s="2113"/>
      <c r="H332" s="2113"/>
      <c r="I332" s="2113"/>
      <c r="J332" s="2113"/>
      <c r="K332" s="2113"/>
      <c r="L332" s="2113"/>
      <c r="M332" s="2113"/>
      <c r="N332" s="2113"/>
      <c r="O332" s="2113"/>
      <c r="P332" s="2113"/>
      <c r="Q332" s="2113"/>
      <c r="R332" s="2113"/>
      <c r="S332" s="2113"/>
      <c r="T332" s="2113"/>
      <c r="U332" s="2113"/>
      <c r="V332" s="2113"/>
      <c r="W332" s="2113"/>
      <c r="X332" s="2113"/>
      <c r="Y332" s="2113"/>
      <c r="Z332" s="2113"/>
      <c r="AA332" s="2113"/>
      <c r="AB332" s="2113"/>
      <c r="AC332" s="2113"/>
      <c r="AD332" s="2113"/>
      <c r="AE332" s="2113"/>
      <c r="AF332" s="2113"/>
      <c r="AG332" s="2112"/>
      <c r="AI332" s="66"/>
      <c r="AN332" s="109"/>
      <c r="AO332" s="109"/>
      <c r="AP332" s="109"/>
      <c r="AQ332" s="109"/>
      <c r="AR332" s="109"/>
      <c r="AS332" s="109"/>
      <c r="AT332" s="109"/>
      <c r="AU332" s="109"/>
      <c r="AV332" s="109"/>
      <c r="AW332" s="109"/>
      <c r="AX332" s="109"/>
      <c r="AY332" s="109"/>
      <c r="AZ332" s="109"/>
      <c r="BA332" s="109"/>
      <c r="BK332" s="109"/>
      <c r="BL332" s="109"/>
    </row>
    <row r="333" spans="1:67" ht="86.1" customHeight="1">
      <c r="A333" s="1523"/>
      <c r="B333" s="1523"/>
      <c r="C333" s="1523"/>
      <c r="D333" s="1523"/>
      <c r="E333" s="1523"/>
      <c r="F333" s="2111" t="s">
        <v>1584</v>
      </c>
      <c r="G333" s="2113"/>
      <c r="H333" s="2113"/>
      <c r="I333" s="2113"/>
      <c r="J333" s="2113"/>
      <c r="K333" s="2113"/>
      <c r="L333" s="2113"/>
      <c r="M333" s="2113"/>
      <c r="N333" s="2113"/>
      <c r="O333" s="2113"/>
      <c r="P333" s="2113"/>
      <c r="Q333" s="2113"/>
      <c r="R333" s="2113"/>
      <c r="S333" s="2113"/>
      <c r="T333" s="2113"/>
      <c r="U333" s="2113"/>
      <c r="V333" s="2113"/>
      <c r="W333" s="2113"/>
      <c r="X333" s="2113"/>
      <c r="Y333" s="2113"/>
      <c r="Z333" s="2113"/>
      <c r="AA333" s="2113"/>
      <c r="AB333" s="2113"/>
      <c r="AC333" s="2113"/>
      <c r="AD333" s="2113"/>
      <c r="AE333" s="2113"/>
      <c r="AF333" s="2113"/>
      <c r="AG333" s="2112"/>
      <c r="AI333" s="66"/>
      <c r="AN333" s="109"/>
      <c r="AO333" s="109"/>
      <c r="AP333" s="109"/>
      <c r="AQ333" s="109"/>
      <c r="AR333" s="109"/>
      <c r="AS333" s="109"/>
      <c r="AT333" s="109"/>
      <c r="AU333" s="109"/>
      <c r="AV333" s="109"/>
      <c r="AW333" s="109"/>
      <c r="AX333" s="109"/>
      <c r="AY333" s="109"/>
      <c r="AZ333" s="109"/>
      <c r="BA333" s="109"/>
      <c r="BK333" s="109"/>
      <c r="BL333" s="109"/>
    </row>
    <row r="334" spans="1:67" ht="32.450000000000003" customHeight="1">
      <c r="A334" s="1523"/>
      <c r="B334" s="1523"/>
      <c r="C334" s="1523"/>
      <c r="D334" s="1523"/>
      <c r="E334" s="1523"/>
      <c r="F334" s="2111" t="s">
        <v>1531</v>
      </c>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112"/>
      <c r="AI334" s="66"/>
      <c r="AN334" s="109"/>
      <c r="AO334" s="109"/>
      <c r="AP334" s="109"/>
      <c r="AQ334" s="109"/>
      <c r="AR334" s="109"/>
      <c r="AS334" s="109"/>
      <c r="AT334" s="109"/>
      <c r="AU334" s="109"/>
      <c r="AV334" s="109"/>
      <c r="AW334" s="109"/>
      <c r="AX334" s="109"/>
      <c r="AY334" s="109"/>
      <c r="AZ334" s="109"/>
      <c r="BA334" s="109"/>
      <c r="BK334" s="109"/>
      <c r="BL334" s="109"/>
    </row>
    <row r="335" spans="1:67" ht="36.950000000000003" customHeight="1">
      <c r="A335" s="1523"/>
      <c r="B335" s="1523"/>
      <c r="C335" s="1523"/>
      <c r="D335" s="1523"/>
      <c r="E335" s="1523"/>
      <c r="F335" s="1400" t="s">
        <v>1642</v>
      </c>
      <c r="G335" s="1401"/>
      <c r="H335" s="1401"/>
      <c r="I335" s="1401"/>
      <c r="J335" s="1401"/>
      <c r="K335" s="1401"/>
      <c r="L335" s="1401"/>
      <c r="M335" s="1401"/>
      <c r="N335" s="1401"/>
      <c r="O335" s="1401"/>
      <c r="P335" s="1401"/>
      <c r="Q335" s="1401"/>
      <c r="R335" s="1401"/>
      <c r="S335" s="1401"/>
      <c r="T335" s="1401"/>
      <c r="U335" s="1401"/>
      <c r="V335" s="1401"/>
      <c r="W335" s="1401"/>
      <c r="X335" s="1401"/>
      <c r="Y335" s="1401"/>
      <c r="Z335" s="1401"/>
      <c r="AA335" s="1401"/>
      <c r="AB335" s="1401"/>
      <c r="AC335" s="1401"/>
      <c r="AD335" s="1401"/>
      <c r="AE335" s="1401"/>
      <c r="AF335" s="1401"/>
      <c r="AG335" s="1401"/>
      <c r="AH335" s="73"/>
    </row>
    <row r="336" spans="1:67" ht="201.6" customHeight="1">
      <c r="A336" s="1523"/>
      <c r="B336" s="1523"/>
      <c r="C336" s="1523"/>
      <c r="D336" s="1523"/>
      <c r="E336" s="1523"/>
      <c r="F336" s="1749" t="s">
        <v>1641</v>
      </c>
      <c r="G336" s="1750"/>
      <c r="H336" s="1750"/>
      <c r="I336" s="1750"/>
      <c r="J336" s="1750"/>
      <c r="K336" s="1750"/>
      <c r="L336" s="1750"/>
      <c r="M336" s="1750"/>
      <c r="N336" s="1750"/>
      <c r="O336" s="1750"/>
      <c r="P336" s="1750"/>
      <c r="Q336" s="1750"/>
      <c r="R336" s="1750"/>
      <c r="S336" s="1750"/>
      <c r="T336" s="1750"/>
      <c r="U336" s="1750"/>
      <c r="V336" s="1750"/>
      <c r="W336" s="1750"/>
      <c r="X336" s="1750"/>
      <c r="Y336" s="1750"/>
      <c r="Z336" s="1750"/>
      <c r="AA336" s="1750"/>
      <c r="AB336" s="1750"/>
      <c r="AC336" s="1750"/>
      <c r="AD336" s="1750"/>
      <c r="AE336" s="1750"/>
      <c r="AF336" s="1750"/>
      <c r="AG336" s="1751"/>
      <c r="AH336" s="73"/>
    </row>
    <row r="337" spans="1:62" s="73" customFormat="1" ht="24.95" customHeight="1">
      <c r="A337" s="1429" t="s">
        <v>402</v>
      </c>
      <c r="B337" s="1429"/>
      <c r="C337" s="1429"/>
      <c r="D337" s="1429"/>
      <c r="E337" s="1429"/>
      <c r="F337" s="1429"/>
      <c r="G337" s="1429"/>
      <c r="H337" s="1429"/>
      <c r="I337" s="1429"/>
      <c r="J337" s="1429"/>
      <c r="K337" s="1429"/>
      <c r="L337" s="1429"/>
      <c r="M337" s="1429"/>
      <c r="N337" s="1429"/>
      <c r="O337" s="1429"/>
      <c r="P337" s="1429"/>
      <c r="Q337" s="1429"/>
      <c r="R337" s="1429"/>
      <c r="S337" s="1429"/>
      <c r="T337" s="1429"/>
      <c r="U337" s="1429"/>
      <c r="V337" s="1429"/>
      <c r="W337" s="1429"/>
      <c r="X337" s="1429"/>
      <c r="Y337" s="1429"/>
      <c r="Z337" s="1429"/>
      <c r="AA337" s="1429"/>
      <c r="AB337" s="1429"/>
      <c r="AC337" s="1429"/>
      <c r="AD337" s="1429"/>
      <c r="AE337" s="1429"/>
      <c r="AF337" s="1429"/>
      <c r="AG337" s="1429"/>
      <c r="BB337" s="65"/>
      <c r="BC337" s="65"/>
      <c r="BD337" s="65"/>
      <c r="BE337" s="65"/>
      <c r="BF337" s="65"/>
      <c r="BG337" s="65"/>
      <c r="BH337" s="65"/>
      <c r="BI337" s="65"/>
      <c r="BJ337" s="65"/>
    </row>
    <row r="338" spans="1:62" ht="24.95" customHeight="1">
      <c r="A338" s="1429" t="s">
        <v>540</v>
      </c>
      <c r="B338" s="1429"/>
      <c r="C338" s="1429"/>
      <c r="D338" s="1429"/>
      <c r="E338" s="1429"/>
      <c r="F338" s="1429"/>
      <c r="G338" s="1429"/>
      <c r="H338" s="1429"/>
      <c r="I338" s="1429"/>
      <c r="J338" s="1429"/>
      <c r="K338" s="1429"/>
      <c r="L338" s="1429"/>
      <c r="M338" s="1429"/>
      <c r="N338" s="1429"/>
      <c r="O338" s="1429"/>
      <c r="P338" s="1429"/>
      <c r="Q338" s="1429"/>
      <c r="R338" s="1429"/>
      <c r="S338" s="1429"/>
      <c r="T338" s="1429"/>
      <c r="U338" s="1429"/>
      <c r="V338" s="1429"/>
      <c r="W338" s="1429"/>
      <c r="X338" s="1429"/>
      <c r="Y338" s="1429"/>
      <c r="Z338" s="1429"/>
      <c r="AA338" s="1429"/>
      <c r="AB338" s="1429"/>
      <c r="AC338" s="1429"/>
      <c r="AD338" s="1429"/>
      <c r="AE338" s="1429"/>
      <c r="AF338" s="1429"/>
      <c r="AG338" s="1429"/>
    </row>
    <row r="339" spans="1:62" ht="24.95" hidden="1" customHeight="1">
      <c r="A339" s="1429" t="s">
        <v>1170</v>
      </c>
      <c r="B339" s="1429"/>
      <c r="C339" s="1429"/>
      <c r="D339" s="1429"/>
      <c r="E339" s="1429"/>
      <c r="F339" s="1429"/>
      <c r="G339" s="1429"/>
      <c r="H339" s="1429"/>
      <c r="I339" s="1429"/>
      <c r="J339" s="1429"/>
      <c r="K339" s="1429"/>
      <c r="L339" s="1429"/>
      <c r="M339" s="1429"/>
      <c r="N339" s="1429"/>
      <c r="O339" s="1429"/>
      <c r="P339" s="1429"/>
      <c r="Q339" s="1429"/>
      <c r="R339" s="1429"/>
      <c r="S339" s="1429"/>
      <c r="T339" s="1429"/>
      <c r="U339" s="1429"/>
      <c r="V339" s="1429"/>
      <c r="W339" s="1429"/>
      <c r="X339" s="1429"/>
      <c r="Y339" s="1429"/>
      <c r="Z339" s="1429"/>
      <c r="AA339" s="1429"/>
      <c r="AB339" s="1429"/>
      <c r="AC339" s="1429"/>
      <c r="AD339" s="1429"/>
      <c r="AE339" s="1429"/>
      <c r="AF339" s="1429"/>
      <c r="AG339" s="1429"/>
    </row>
    <row r="340" spans="1:62" ht="15" customHeight="1">
      <c r="A340" s="664"/>
      <c r="B340" s="664"/>
      <c r="C340" s="664"/>
      <c r="D340" s="664"/>
      <c r="E340" s="664"/>
      <c r="F340" s="664"/>
      <c r="G340" s="664"/>
      <c r="H340" s="664"/>
      <c r="I340" s="664"/>
      <c r="J340" s="664"/>
      <c r="K340" s="664"/>
      <c r="L340" s="664"/>
      <c r="M340" s="664"/>
      <c r="N340" s="664"/>
      <c r="O340" s="664"/>
      <c r="P340" s="664"/>
      <c r="Q340" s="664"/>
      <c r="R340" s="664"/>
      <c r="S340" s="664"/>
      <c r="T340" s="664"/>
      <c r="U340" s="664"/>
      <c r="V340" s="664"/>
      <c r="W340" s="664"/>
      <c r="X340" s="664"/>
      <c r="Y340" s="664"/>
      <c r="Z340" s="664"/>
      <c r="AA340" s="664"/>
      <c r="AB340" s="664"/>
      <c r="AC340" s="664"/>
      <c r="AD340" s="664"/>
      <c r="AE340" s="664"/>
      <c r="AF340" s="664"/>
      <c r="AG340" s="664"/>
    </row>
    <row r="341" spans="1:62" ht="15" customHeight="1" thickBot="1">
      <c r="A341" s="2027" t="s">
        <v>1622</v>
      </c>
      <c r="B341" s="2027"/>
      <c r="C341" s="2027"/>
      <c r="D341" s="2027"/>
      <c r="E341" s="2027"/>
      <c r="F341" s="2027"/>
      <c r="G341" s="2027"/>
      <c r="H341" s="2027"/>
      <c r="I341" s="2027"/>
      <c r="J341" s="184"/>
      <c r="K341" s="184"/>
      <c r="L341" s="184"/>
      <c r="M341" s="184"/>
      <c r="N341" s="184"/>
      <c r="O341" s="184"/>
      <c r="P341" s="184"/>
      <c r="Q341" s="184"/>
      <c r="R341" s="184"/>
      <c r="S341" s="184"/>
      <c r="T341" s="184"/>
      <c r="U341" s="184"/>
      <c r="V341" s="184"/>
      <c r="W341" s="184"/>
      <c r="X341" s="184"/>
      <c r="Y341" s="184"/>
      <c r="Z341" s="184"/>
      <c r="AA341" s="184"/>
      <c r="AB341" s="184"/>
      <c r="AC341" s="184"/>
      <c r="AD341" s="184"/>
      <c r="AE341" s="314"/>
      <c r="AF341" s="314"/>
      <c r="AG341" s="314"/>
      <c r="AK341" s="73"/>
      <c r="AL341" s="73"/>
      <c r="AM341" s="73"/>
      <c r="BB341" s="109"/>
      <c r="BC341" s="109"/>
      <c r="BD341" s="109"/>
      <c r="BE341" s="109"/>
      <c r="BF341" s="109"/>
      <c r="BG341" s="109"/>
      <c r="BH341" s="109"/>
      <c r="BI341" s="109"/>
      <c r="BJ341" s="109"/>
    </row>
    <row r="342" spans="1:62" ht="15" customHeight="1" thickBot="1">
      <c r="A342" s="2028"/>
      <c r="B342" s="2028"/>
      <c r="C342" s="2028"/>
      <c r="D342" s="2028"/>
      <c r="E342" s="2028"/>
      <c r="F342" s="2028"/>
      <c r="G342" s="2028"/>
      <c r="H342" s="2028"/>
      <c r="I342" s="2028"/>
      <c r="J342" s="1496" t="str">
        <f>IFERROR(IF(AND(AI344,AI345,AI346,AI347),"×","○"),"エラー")</f>
        <v>○</v>
      </c>
      <c r="K342" s="1497"/>
      <c r="L342" s="1497"/>
      <c r="M342" s="1497"/>
      <c r="N342" s="1498"/>
      <c r="O342" s="1538" t="s">
        <v>268</v>
      </c>
      <c r="P342" s="1539"/>
      <c r="Q342" s="1539"/>
      <c r="R342" s="314"/>
      <c r="S342" s="314"/>
      <c r="T342" s="314"/>
      <c r="U342" s="314"/>
      <c r="V342" s="816"/>
      <c r="W342" s="816"/>
      <c r="X342" s="816"/>
      <c r="Y342" s="816"/>
      <c r="Z342" s="816"/>
      <c r="AA342" s="816"/>
      <c r="AB342" s="816"/>
      <c r="AC342" s="816"/>
      <c r="AD342" s="816"/>
      <c r="AE342" s="314"/>
      <c r="AF342" s="314"/>
      <c r="AG342" s="314"/>
      <c r="AH342" s="73"/>
      <c r="AI342" s="77"/>
      <c r="AJ342" s="73"/>
      <c r="BB342" s="109"/>
      <c r="BC342" s="109"/>
      <c r="BD342" s="109"/>
      <c r="BE342" s="109"/>
      <c r="BF342" s="109"/>
      <c r="BG342" s="109"/>
      <c r="BH342" s="109"/>
      <c r="BI342" s="109"/>
      <c r="BJ342" s="109"/>
    </row>
    <row r="343" spans="1:62" s="73" customFormat="1" ht="15" customHeight="1">
      <c r="A343" s="1583" t="s">
        <v>1540</v>
      </c>
      <c r="B343" s="1949"/>
      <c r="C343" s="1949"/>
      <c r="D343" s="1949"/>
      <c r="E343" s="1949"/>
      <c r="F343" s="1756" t="s">
        <v>103</v>
      </c>
      <c r="G343" s="1756"/>
      <c r="H343" s="1756"/>
      <c r="I343" s="1756"/>
      <c r="J343" s="1756"/>
      <c r="K343" s="1756"/>
      <c r="L343" s="1756"/>
      <c r="M343" s="1756"/>
      <c r="N343" s="1756"/>
      <c r="O343" s="1756"/>
      <c r="P343" s="1756"/>
      <c r="Q343" s="1756"/>
      <c r="R343" s="1756"/>
      <c r="S343" s="1756"/>
      <c r="T343" s="1756"/>
      <c r="U343" s="1756"/>
      <c r="V343" s="1539"/>
      <c r="W343" s="1539"/>
      <c r="X343" s="1539"/>
      <c r="Y343" s="1539"/>
      <c r="Z343" s="1539"/>
      <c r="AA343" s="1539"/>
      <c r="AB343" s="1539"/>
      <c r="AC343" s="1631"/>
      <c r="AD343" s="1426" t="s">
        <v>269</v>
      </c>
      <c r="AE343" s="1466"/>
      <c r="AF343" s="1466"/>
      <c r="AG343" s="1466"/>
      <c r="AK343" s="65"/>
      <c r="AL343" s="65"/>
      <c r="AM343" s="65"/>
      <c r="BB343" s="65"/>
      <c r="BC343" s="65"/>
      <c r="BD343" s="65"/>
      <c r="BE343" s="65"/>
      <c r="BF343" s="65"/>
      <c r="BG343" s="65"/>
      <c r="BH343" s="65"/>
      <c r="BI343" s="65"/>
      <c r="BJ343" s="65"/>
    </row>
    <row r="344" spans="1:62" ht="15" customHeight="1">
      <c r="A344" s="1586"/>
      <c r="B344" s="1587"/>
      <c r="C344" s="1587"/>
      <c r="D344" s="1587"/>
      <c r="E344" s="1587"/>
      <c r="F344" s="925">
        <v>1</v>
      </c>
      <c r="G344" s="1969" t="s">
        <v>1161</v>
      </c>
      <c r="H344" s="1969"/>
      <c r="I344" s="1969"/>
      <c r="J344" s="1969"/>
      <c r="K344" s="1969"/>
      <c r="L344" s="1969"/>
      <c r="M344" s="1969"/>
      <c r="N344" s="1969"/>
      <c r="O344" s="1969"/>
      <c r="P344" s="1969"/>
      <c r="Q344" s="1969"/>
      <c r="R344" s="1969"/>
      <c r="S344" s="1969"/>
      <c r="T344" s="1969"/>
      <c r="U344" s="1969"/>
      <c r="V344" s="1969"/>
      <c r="W344" s="1969"/>
      <c r="X344" s="1969"/>
      <c r="Y344" s="1969"/>
      <c r="Z344" s="1969"/>
      <c r="AA344" s="1969"/>
      <c r="AB344" s="1969"/>
      <c r="AC344" s="1970"/>
      <c r="AD344" s="1795" t="str">
        <f>【様式５】職員数算出表!O34</f>
        <v>×</v>
      </c>
      <c r="AE344" s="1704"/>
      <c r="AF344" s="1704"/>
      <c r="AG344" s="1663"/>
      <c r="AH344" s="73"/>
      <c r="AI344" s="937" t="b">
        <f>AD344="○"</f>
        <v>0</v>
      </c>
      <c r="AJ344" s="80"/>
      <c r="BB344" s="73"/>
      <c r="BC344" s="73"/>
      <c r="BD344" s="73"/>
      <c r="BE344" s="73"/>
      <c r="BF344" s="73"/>
      <c r="BG344" s="73"/>
      <c r="BH344" s="73"/>
      <c r="BI344" s="73"/>
      <c r="BJ344" s="73"/>
    </row>
    <row r="345" spans="1:62" ht="15" customHeight="1">
      <c r="A345" s="1586"/>
      <c r="B345" s="1587"/>
      <c r="C345" s="1587"/>
      <c r="D345" s="1587"/>
      <c r="E345" s="1587"/>
      <c r="F345" s="933">
        <v>2</v>
      </c>
      <c r="G345" s="1468" t="s">
        <v>361</v>
      </c>
      <c r="H345" s="1468"/>
      <c r="I345" s="1468"/>
      <c r="J345" s="1468"/>
      <c r="K345" s="1468"/>
      <c r="L345" s="1468"/>
      <c r="M345" s="1468"/>
      <c r="N345" s="1468"/>
      <c r="O345" s="1468"/>
      <c r="P345" s="1468"/>
      <c r="Q345" s="1468"/>
      <c r="R345" s="1468"/>
      <c r="S345" s="1468"/>
      <c r="T345" s="1468"/>
      <c r="U345" s="1468"/>
      <c r="V345" s="1468"/>
      <c r="W345" s="1468"/>
      <c r="X345" s="1468"/>
      <c r="Y345" s="1468"/>
      <c r="Z345" s="1468"/>
      <c r="AA345" s="1468"/>
      <c r="AB345" s="1468"/>
      <c r="AC345" s="1568"/>
      <c r="AD345" s="1647" t="str">
        <f>IF(AD300=0,"×",AD300)</f>
        <v>×</v>
      </c>
      <c r="AE345" s="1648"/>
      <c r="AF345" s="1648"/>
      <c r="AG345" s="1966"/>
      <c r="AI345" s="937" t="b">
        <f>AD345="○"</f>
        <v>0</v>
      </c>
      <c r="AK345" s="73"/>
      <c r="AL345" s="73"/>
      <c r="AM345" s="73"/>
    </row>
    <row r="346" spans="1:62" ht="31.5" customHeight="1">
      <c r="A346" s="1586"/>
      <c r="B346" s="1587"/>
      <c r="C346" s="1587"/>
      <c r="D346" s="1587"/>
      <c r="E346" s="1587"/>
      <c r="F346" s="1285">
        <v>3</v>
      </c>
      <c r="G346" s="1468" t="s">
        <v>1541</v>
      </c>
      <c r="H346" s="1468"/>
      <c r="I346" s="1468"/>
      <c r="J346" s="1468"/>
      <c r="K346" s="1468"/>
      <c r="L346" s="1468"/>
      <c r="M346" s="1468"/>
      <c r="N346" s="1468"/>
      <c r="O346" s="1468"/>
      <c r="P346" s="1468"/>
      <c r="Q346" s="1468"/>
      <c r="R346" s="1468"/>
      <c r="S346" s="1468"/>
      <c r="T346" s="1468"/>
      <c r="U346" s="1468"/>
      <c r="V346" s="1468"/>
      <c r="W346" s="1468"/>
      <c r="X346" s="1468"/>
      <c r="Y346" s="1468"/>
      <c r="Z346" s="1468"/>
      <c r="AA346" s="1468"/>
      <c r="AB346" s="1468"/>
      <c r="AC346" s="1468"/>
      <c r="AD346" s="1572"/>
      <c r="AE346" s="1573"/>
      <c r="AF346" s="1573"/>
      <c r="AG346" s="1574"/>
      <c r="AH346" s="73"/>
      <c r="AI346" s="1286" t="b">
        <f>AD346="○"</f>
        <v>0</v>
      </c>
    </row>
    <row r="347" spans="1:62" ht="15" customHeight="1">
      <c r="A347" s="1586"/>
      <c r="B347" s="1587"/>
      <c r="C347" s="1587"/>
      <c r="D347" s="1587"/>
      <c r="E347" s="1587"/>
      <c r="F347" s="934">
        <v>4</v>
      </c>
      <c r="G347" s="2125" t="s">
        <v>343</v>
      </c>
      <c r="H347" s="2125"/>
      <c r="I347" s="2125"/>
      <c r="J347" s="2125"/>
      <c r="K347" s="2125"/>
      <c r="L347" s="2125"/>
      <c r="M347" s="2125"/>
      <c r="N347" s="2125"/>
      <c r="O347" s="2125"/>
      <c r="P347" s="2125"/>
      <c r="Q347" s="2125"/>
      <c r="R347" s="2125"/>
      <c r="S347" s="2125"/>
      <c r="T347" s="2125"/>
      <c r="U347" s="2125"/>
      <c r="V347" s="2125"/>
      <c r="W347" s="2125"/>
      <c r="X347" s="2125"/>
      <c r="Y347" s="2125"/>
      <c r="Z347" s="2125"/>
      <c r="AA347" s="2125"/>
      <c r="AB347" s="2125"/>
      <c r="AC347" s="2126"/>
      <c r="AD347" s="1665" t="str">
        <f>IF(COUNTIF($AF$348:$AG$368,"○")&gt;=2,"○","×")</f>
        <v>×</v>
      </c>
      <c r="AE347" s="1756"/>
      <c r="AF347" s="1756"/>
      <c r="AG347" s="2127"/>
      <c r="AI347" s="937" t="b">
        <f>AD347="○"</f>
        <v>0</v>
      </c>
      <c r="AK347" s="73"/>
      <c r="AL347" s="73"/>
      <c r="AM347" s="73"/>
    </row>
    <row r="348" spans="1:62" ht="39.950000000000003" customHeight="1">
      <c r="A348" s="1586"/>
      <c r="B348" s="1587"/>
      <c r="C348" s="1587"/>
      <c r="D348" s="1587"/>
      <c r="E348" s="1587"/>
      <c r="F348" s="1647" t="s">
        <v>156</v>
      </c>
      <c r="G348" s="1648"/>
      <c r="H348" s="1991" t="s">
        <v>484</v>
      </c>
      <c r="I348" s="1991"/>
      <c r="J348" s="1991"/>
      <c r="K348" s="1991"/>
      <c r="L348" s="1991"/>
      <c r="M348" s="1991"/>
      <c r="N348" s="1991"/>
      <c r="O348" s="1991"/>
      <c r="P348" s="1991"/>
      <c r="Q348" s="1991"/>
      <c r="R348" s="1991"/>
      <c r="S348" s="1991"/>
      <c r="T348" s="1991"/>
      <c r="U348" s="1991"/>
      <c r="V348" s="1991"/>
      <c r="W348" s="1991"/>
      <c r="X348" s="1991"/>
      <c r="Y348" s="1991"/>
      <c r="Z348" s="1991"/>
      <c r="AA348" s="1991"/>
      <c r="AB348" s="1991"/>
      <c r="AC348" s="1991"/>
      <c r="AD348" s="1991"/>
      <c r="AE348" s="1991"/>
      <c r="AF348" s="2116" t="str">
        <f>IF(AND(X349="○",AI349&gt;=AJ349),"○","×")</f>
        <v>×</v>
      </c>
      <c r="AG348" s="1978"/>
      <c r="AI348" s="134" t="s">
        <v>381</v>
      </c>
      <c r="AJ348" s="134" t="s">
        <v>382</v>
      </c>
    </row>
    <row r="349" spans="1:62" ht="15" customHeight="1">
      <c r="A349" s="1586"/>
      <c r="B349" s="1587"/>
      <c r="C349" s="1587"/>
      <c r="D349" s="1587"/>
      <c r="E349" s="1587"/>
      <c r="F349" s="1630"/>
      <c r="G349" s="1539"/>
      <c r="H349" s="695" t="s">
        <v>352</v>
      </c>
      <c r="I349" s="2102" t="s">
        <v>362</v>
      </c>
      <c r="J349" s="2102"/>
      <c r="K349" s="2102"/>
      <c r="L349" s="2102"/>
      <c r="M349" s="2102"/>
      <c r="N349" s="2102"/>
      <c r="O349" s="2102"/>
      <c r="P349" s="2102"/>
      <c r="Q349" s="2102"/>
      <c r="R349" s="2102"/>
      <c r="S349" s="2102"/>
      <c r="T349" s="2102"/>
      <c r="U349" s="2102"/>
      <c r="V349" s="2102"/>
      <c r="W349" s="2102"/>
      <c r="X349" s="2103"/>
      <c r="Y349" s="2103"/>
      <c r="Z349" s="2103"/>
      <c r="AA349" s="2103"/>
      <c r="AB349" s="2103"/>
      <c r="AC349" s="2103"/>
      <c r="AD349" s="2103"/>
      <c r="AE349" s="2104"/>
      <c r="AF349" s="2073"/>
      <c r="AG349" s="1980"/>
      <c r="AI349" s="134">
        <f>IFERROR(VLOOKUP($I$10,$AL$3:$AM$14,2,FALSE),0)</f>
        <v>1</v>
      </c>
      <c r="AJ349" s="134">
        <f>IFERROR(VLOOKUP(X350,$AL$3:$AM$14,2,FALSE),13)</f>
        <v>13</v>
      </c>
    </row>
    <row r="350" spans="1:62" ht="15" customHeight="1">
      <c r="A350" s="1586"/>
      <c r="B350" s="1587"/>
      <c r="C350" s="1587"/>
      <c r="D350" s="1587"/>
      <c r="E350" s="1587"/>
      <c r="F350" s="1693"/>
      <c r="G350" s="1694"/>
      <c r="H350" s="696" t="s">
        <v>385</v>
      </c>
      <c r="I350" s="2105" t="s">
        <v>386</v>
      </c>
      <c r="J350" s="2105"/>
      <c r="K350" s="2105"/>
      <c r="L350" s="2105"/>
      <c r="M350" s="2105"/>
      <c r="N350" s="2105"/>
      <c r="O350" s="2105"/>
      <c r="P350" s="2105"/>
      <c r="Q350" s="2105"/>
      <c r="R350" s="2105"/>
      <c r="S350" s="2105"/>
      <c r="T350" s="2105"/>
      <c r="U350" s="2105"/>
      <c r="V350" s="2105"/>
      <c r="W350" s="2105"/>
      <c r="X350" s="2106"/>
      <c r="Y350" s="2106"/>
      <c r="Z350" s="2106"/>
      <c r="AA350" s="2106"/>
      <c r="AB350" s="2106"/>
      <c r="AC350" s="2106"/>
      <c r="AD350" s="2106"/>
      <c r="AE350" s="2107"/>
      <c r="AF350" s="2117"/>
      <c r="AG350" s="2118"/>
      <c r="AI350" s="73"/>
    </row>
    <row r="351" spans="1:62" ht="50.1" customHeight="1">
      <c r="A351" s="1586"/>
      <c r="B351" s="1587"/>
      <c r="C351" s="1587"/>
      <c r="D351" s="1587"/>
      <c r="E351" s="1587"/>
      <c r="F351" s="2018" t="s">
        <v>88</v>
      </c>
      <c r="G351" s="2019"/>
      <c r="H351" s="2076" t="s">
        <v>485</v>
      </c>
      <c r="I351" s="2077"/>
      <c r="J351" s="2077"/>
      <c r="K351" s="2077"/>
      <c r="L351" s="2077"/>
      <c r="M351" s="2077"/>
      <c r="N351" s="2077"/>
      <c r="O351" s="2077"/>
      <c r="P351" s="2077"/>
      <c r="Q351" s="2077"/>
      <c r="R351" s="2077"/>
      <c r="S351" s="2077"/>
      <c r="T351" s="2077"/>
      <c r="U351" s="2077"/>
      <c r="V351" s="2077"/>
      <c r="W351" s="2077"/>
      <c r="X351" s="2077"/>
      <c r="Y351" s="2077"/>
      <c r="Z351" s="2077"/>
      <c r="AA351" s="2077"/>
      <c r="AB351" s="2078"/>
      <c r="AC351" s="2078"/>
      <c r="AD351" s="2078"/>
      <c r="AE351" s="2079"/>
      <c r="AF351" s="1647" t="str">
        <f>IF(OR(IF(ISERROR(HLOOKUP(AI349,$AJ$353:$AU$354,2,FALSE)),0,HLOOKUP(AI349,$AJ$353:$AU$354,2,FALSE)),AND(AI349=1,AK354)),"○","×")</f>
        <v>×</v>
      </c>
      <c r="AG351" s="1966"/>
      <c r="BB351" s="73"/>
      <c r="BC351" s="73"/>
      <c r="BD351" s="73"/>
      <c r="BE351" s="73"/>
      <c r="BF351" s="73"/>
      <c r="BG351" s="73"/>
      <c r="BH351" s="73"/>
      <c r="BI351" s="73"/>
      <c r="BJ351" s="73"/>
    </row>
    <row r="352" spans="1:62" ht="20.100000000000001" hidden="1" customHeight="1">
      <c r="A352" s="1586"/>
      <c r="B352" s="1587"/>
      <c r="C352" s="1587"/>
      <c r="D352" s="1587"/>
      <c r="E352" s="1587"/>
      <c r="F352" s="2020"/>
      <c r="G352" s="2021"/>
      <c r="H352" s="1695" t="s">
        <v>1172</v>
      </c>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6" t="str">
        <f>IF(AB310=0,"",AB310)</f>
        <v/>
      </c>
      <c r="AC352" s="1697"/>
      <c r="AD352" s="1697"/>
      <c r="AE352" s="1697"/>
      <c r="AF352" s="1630"/>
      <c r="AG352" s="1631"/>
      <c r="AI352" s="134" t="s">
        <v>364</v>
      </c>
      <c r="AJ352" s="81">
        <v>4</v>
      </c>
      <c r="AK352" s="937">
        <v>5</v>
      </c>
      <c r="AL352" s="937">
        <v>6</v>
      </c>
      <c r="AM352" s="937">
        <v>7</v>
      </c>
      <c r="AN352" s="937">
        <v>8</v>
      </c>
      <c r="AO352" s="937">
        <v>9</v>
      </c>
      <c r="AP352" s="937">
        <v>10</v>
      </c>
      <c r="AQ352" s="937">
        <v>11</v>
      </c>
      <c r="AR352" s="937">
        <v>12</v>
      </c>
      <c r="AS352" s="937">
        <v>1</v>
      </c>
      <c r="AT352" s="937">
        <v>2</v>
      </c>
      <c r="AU352" s="937">
        <v>3</v>
      </c>
      <c r="AV352" s="77"/>
    </row>
    <row r="353" spans="1:48" ht="15" customHeight="1">
      <c r="A353" s="1586"/>
      <c r="B353" s="1587"/>
      <c r="C353" s="1587"/>
      <c r="D353" s="1587"/>
      <c r="E353" s="1587"/>
      <c r="F353" s="2022"/>
      <c r="G353" s="2023"/>
      <c r="H353" s="1971" t="str">
        <f>IF(AB352="○","昨年度","今年度")&amp;"の各月延べ利用数(20人/月が該当月)"</f>
        <v>今年度の各月延べ利用数(20人/月が該当月)</v>
      </c>
      <c r="I353" s="1971"/>
      <c r="J353" s="1971"/>
      <c r="K353" s="1971"/>
      <c r="L353" s="1971"/>
      <c r="M353" s="1971"/>
      <c r="N353" s="1971"/>
      <c r="O353" s="1971"/>
      <c r="P353" s="1971"/>
      <c r="Q353" s="1971"/>
      <c r="R353" s="1971"/>
      <c r="S353" s="1971"/>
      <c r="T353" s="1971"/>
      <c r="U353" s="1971"/>
      <c r="V353" s="1971"/>
      <c r="W353" s="1971"/>
      <c r="X353" s="1971"/>
      <c r="Y353" s="1971"/>
      <c r="Z353" s="1971"/>
      <c r="AA353" s="1971"/>
      <c r="AB353" s="1972"/>
      <c r="AC353" s="1972"/>
      <c r="AD353" s="1972"/>
      <c r="AE353" s="1973"/>
      <c r="AF353" s="1630"/>
      <c r="AG353" s="1631"/>
      <c r="AI353" s="134" t="s">
        <v>365</v>
      </c>
      <c r="AJ353" s="134">
        <v>1</v>
      </c>
      <c r="AK353" s="134">
        <v>2</v>
      </c>
      <c r="AL353" s="134">
        <v>3</v>
      </c>
      <c r="AM353" s="134">
        <v>4</v>
      </c>
      <c r="AN353" s="134">
        <v>5</v>
      </c>
      <c r="AO353" s="134">
        <v>6</v>
      </c>
      <c r="AP353" s="134">
        <v>7</v>
      </c>
      <c r="AQ353" s="134">
        <v>8</v>
      </c>
      <c r="AR353" s="134">
        <v>9</v>
      </c>
      <c r="AS353" s="134">
        <v>10</v>
      </c>
      <c r="AT353" s="134">
        <v>11</v>
      </c>
      <c r="AU353" s="134">
        <v>12</v>
      </c>
      <c r="AV353" s="66"/>
    </row>
    <row r="354" spans="1:48" ht="15" customHeight="1">
      <c r="A354" s="1586"/>
      <c r="B354" s="1587"/>
      <c r="C354" s="1587"/>
      <c r="D354" s="1587"/>
      <c r="E354" s="1587"/>
      <c r="F354" s="2022"/>
      <c r="G354" s="2023"/>
      <c r="H354" s="1625" t="s">
        <v>366</v>
      </c>
      <c r="I354" s="1625"/>
      <c r="J354" s="1626"/>
      <c r="K354" s="1762">
        <f>K312</f>
        <v>0</v>
      </c>
      <c r="L354" s="1763"/>
      <c r="M354" s="691" t="s">
        <v>344</v>
      </c>
      <c r="N354" s="1625" t="s">
        <v>367</v>
      </c>
      <c r="O354" s="1625"/>
      <c r="P354" s="1626"/>
      <c r="Q354" s="1762">
        <f>Q312</f>
        <v>0</v>
      </c>
      <c r="R354" s="1763"/>
      <c r="S354" s="691" t="s">
        <v>344</v>
      </c>
      <c r="T354" s="1625" t="s">
        <v>368</v>
      </c>
      <c r="U354" s="1625"/>
      <c r="V354" s="1626"/>
      <c r="W354" s="1762">
        <f>W312</f>
        <v>0</v>
      </c>
      <c r="X354" s="1763"/>
      <c r="Y354" s="691" t="s">
        <v>344</v>
      </c>
      <c r="Z354" s="1625" t="s">
        <v>369</v>
      </c>
      <c r="AA354" s="1625"/>
      <c r="AB354" s="1626"/>
      <c r="AC354" s="1762">
        <f>AC312</f>
        <v>0</v>
      </c>
      <c r="AD354" s="1763"/>
      <c r="AE354" s="693" t="s">
        <v>344</v>
      </c>
      <c r="AF354" s="1630"/>
      <c r="AG354" s="1631"/>
      <c r="AI354" s="134" t="s">
        <v>370</v>
      </c>
      <c r="AJ354" s="937" t="b">
        <f>(K354&gt;=20)</f>
        <v>0</v>
      </c>
      <c r="AK354" s="937" t="b">
        <f>OR(Q354&gt;=20,AJ354)</f>
        <v>0</v>
      </c>
      <c r="AL354" s="937" t="b">
        <f>OR(W354&gt;=20,AK354)</f>
        <v>0</v>
      </c>
      <c r="AM354" s="937" t="b">
        <f>OR(AC354&gt;=20,AL354)</f>
        <v>0</v>
      </c>
      <c r="AN354" s="937" t="b">
        <f>OR(K355&gt;=20,AM354)</f>
        <v>0</v>
      </c>
      <c r="AO354" s="937" t="b">
        <f>OR(Q355&gt;=20,AN354)</f>
        <v>0</v>
      </c>
      <c r="AP354" s="937" t="b">
        <f>OR(W355&gt;=20,AO354)</f>
        <v>0</v>
      </c>
      <c r="AQ354" s="937" t="b">
        <f>(OR(AC355&gt;=20,AP354))</f>
        <v>0</v>
      </c>
      <c r="AR354" s="937" t="b">
        <f>OR(K356&gt;=20,AQ354)</f>
        <v>0</v>
      </c>
      <c r="AS354" s="937" t="b">
        <f>OR(Q356&gt;=20,AR354)</f>
        <v>0</v>
      </c>
      <c r="AT354" s="937" t="b">
        <f>OR(W356&gt;=20,AS354)</f>
        <v>0</v>
      </c>
      <c r="AU354" s="937" t="b">
        <f>OR(AC356&gt;=20,AT354)</f>
        <v>0</v>
      </c>
      <c r="AV354" s="77"/>
    </row>
    <row r="355" spans="1:48" ht="15" customHeight="1">
      <c r="A355" s="1586"/>
      <c r="B355" s="1587"/>
      <c r="C355" s="1587"/>
      <c r="D355" s="1587"/>
      <c r="E355" s="1587"/>
      <c r="F355" s="2022"/>
      <c r="G355" s="2023"/>
      <c r="H355" s="1625" t="s">
        <v>371</v>
      </c>
      <c r="I355" s="1625"/>
      <c r="J355" s="1626"/>
      <c r="K355" s="1762">
        <f>K313</f>
        <v>0</v>
      </c>
      <c r="L355" s="1763"/>
      <c r="M355" s="691" t="s">
        <v>344</v>
      </c>
      <c r="N355" s="1625" t="s">
        <v>372</v>
      </c>
      <c r="O355" s="1625"/>
      <c r="P355" s="1626"/>
      <c r="Q355" s="1762">
        <f>Q313</f>
        <v>0</v>
      </c>
      <c r="R355" s="1763"/>
      <c r="S355" s="691" t="s">
        <v>344</v>
      </c>
      <c r="T355" s="1625" t="s">
        <v>373</v>
      </c>
      <c r="U355" s="1625"/>
      <c r="V355" s="1626"/>
      <c r="W355" s="1762">
        <f>W313</f>
        <v>0</v>
      </c>
      <c r="X355" s="1763"/>
      <c r="Y355" s="691" t="s">
        <v>344</v>
      </c>
      <c r="Z355" s="1625" t="s">
        <v>374</v>
      </c>
      <c r="AA355" s="1625"/>
      <c r="AB355" s="1626"/>
      <c r="AC355" s="1762">
        <f>AC313</f>
        <v>0</v>
      </c>
      <c r="AD355" s="1763"/>
      <c r="AE355" s="693" t="s">
        <v>344</v>
      </c>
      <c r="AF355" s="1630"/>
      <c r="AG355" s="1631"/>
      <c r="AI355" s="75"/>
      <c r="AJ355" s="74"/>
      <c r="AK355" s="74"/>
      <c r="AL355" s="74"/>
      <c r="AM355" s="74"/>
      <c r="AN355" s="74"/>
      <c r="AO355" s="74"/>
      <c r="AP355" s="74"/>
      <c r="AQ355" s="74"/>
      <c r="AR355" s="74"/>
      <c r="AS355" s="74"/>
      <c r="AT355" s="74"/>
      <c r="AU355" s="74"/>
    </row>
    <row r="356" spans="1:48" ht="15" customHeight="1">
      <c r="A356" s="1586"/>
      <c r="B356" s="1587"/>
      <c r="C356" s="1587"/>
      <c r="D356" s="1587"/>
      <c r="E356" s="1587"/>
      <c r="F356" s="2024"/>
      <c r="G356" s="2025"/>
      <c r="H356" s="1689" t="s">
        <v>375</v>
      </c>
      <c r="I356" s="1689"/>
      <c r="J356" s="1690"/>
      <c r="K356" s="1963">
        <f>K314</f>
        <v>0</v>
      </c>
      <c r="L356" s="1964"/>
      <c r="M356" s="692" t="s">
        <v>344</v>
      </c>
      <c r="N356" s="1689" t="s">
        <v>376</v>
      </c>
      <c r="O356" s="1689"/>
      <c r="P356" s="1690"/>
      <c r="Q356" s="1963">
        <f>Q314</f>
        <v>0</v>
      </c>
      <c r="R356" s="1964"/>
      <c r="S356" s="692" t="s">
        <v>344</v>
      </c>
      <c r="T356" s="1689" t="s">
        <v>377</v>
      </c>
      <c r="U356" s="1689"/>
      <c r="V356" s="1690"/>
      <c r="W356" s="1963">
        <f>W314</f>
        <v>0</v>
      </c>
      <c r="X356" s="1964"/>
      <c r="Y356" s="692" t="s">
        <v>344</v>
      </c>
      <c r="Z356" s="1689" t="s">
        <v>378</v>
      </c>
      <c r="AA356" s="1689"/>
      <c r="AB356" s="1690"/>
      <c r="AC356" s="1963">
        <f>AC314</f>
        <v>0</v>
      </c>
      <c r="AD356" s="1964"/>
      <c r="AE356" s="694" t="s">
        <v>344</v>
      </c>
      <c r="AF356" s="1693"/>
      <c r="AG356" s="1976"/>
      <c r="AI356" s="73"/>
    </row>
    <row r="357" spans="1:48" ht="15" customHeight="1">
      <c r="A357" s="1586"/>
      <c r="B357" s="1587"/>
      <c r="C357" s="1587"/>
      <c r="D357" s="1587"/>
      <c r="E357" s="1587"/>
      <c r="F357" s="1630" t="s">
        <v>380</v>
      </c>
      <c r="G357" s="1539"/>
      <c r="H357" s="1429" t="s">
        <v>528</v>
      </c>
      <c r="I357" s="1429"/>
      <c r="J357" s="1429"/>
      <c r="K357" s="1429"/>
      <c r="L357" s="1429"/>
      <c r="M357" s="1429"/>
      <c r="N357" s="1429"/>
      <c r="O357" s="1429"/>
      <c r="P357" s="1429"/>
      <c r="Q357" s="1429"/>
      <c r="R357" s="1429"/>
      <c r="S357" s="1429"/>
      <c r="T357" s="1429"/>
      <c r="U357" s="1429"/>
      <c r="V357" s="1429"/>
      <c r="W357" s="1429"/>
      <c r="X357" s="1429"/>
      <c r="Y357" s="1429"/>
      <c r="Z357" s="1429"/>
      <c r="AA357" s="1429"/>
      <c r="AB357" s="1429"/>
      <c r="AC357" s="1429"/>
      <c r="AD357" s="1429"/>
      <c r="AE357" s="1429"/>
      <c r="AF357" s="2073" t="s">
        <v>387</v>
      </c>
      <c r="AG357" s="1980"/>
      <c r="AI357" s="73"/>
    </row>
    <row r="358" spans="1:48" ht="15" customHeight="1">
      <c r="A358" s="1586"/>
      <c r="B358" s="1587"/>
      <c r="C358" s="1587"/>
      <c r="D358" s="1587"/>
      <c r="E358" s="1587"/>
      <c r="F358" s="1647" t="s">
        <v>384</v>
      </c>
      <c r="G358" s="2096"/>
      <c r="H358" s="2074" t="s">
        <v>1534</v>
      </c>
      <c r="I358" s="1956"/>
      <c r="J358" s="1956"/>
      <c r="K358" s="1956"/>
      <c r="L358" s="1956"/>
      <c r="M358" s="1956"/>
      <c r="N358" s="1956"/>
      <c r="O358" s="1956"/>
      <c r="P358" s="1956"/>
      <c r="Q358" s="1956"/>
      <c r="R358" s="1956"/>
      <c r="S358" s="1956"/>
      <c r="T358" s="1956"/>
      <c r="U358" s="1956"/>
      <c r="V358" s="1956"/>
      <c r="W358" s="1956"/>
      <c r="X358" s="1956"/>
      <c r="Y358" s="1956"/>
      <c r="Z358" s="1956"/>
      <c r="AA358" s="1956"/>
      <c r="AB358" s="1956"/>
      <c r="AC358" s="1956"/>
      <c r="AD358" s="1956"/>
      <c r="AE358" s="1957"/>
      <c r="AF358" s="1648" t="str">
        <f>IF(AJ359&lt;13,IF(OR(AJ359&lt;=AI349,AND(AJ361,AJ362,AJ363,AJ364&lt;=AI349)),"○","×"),IF(AND(AJ361,AJ362,AJ363,AJ364&lt;=AI349),"○","×"))</f>
        <v>×</v>
      </c>
      <c r="AG358" s="1966"/>
      <c r="AJ358" s="67" t="s">
        <v>382</v>
      </c>
    </row>
    <row r="359" spans="1:48" ht="15" customHeight="1">
      <c r="A359" s="1586"/>
      <c r="B359" s="1587"/>
      <c r="C359" s="1587"/>
      <c r="D359" s="1587"/>
      <c r="E359" s="1587"/>
      <c r="F359" s="1630"/>
      <c r="G359" s="2097"/>
      <c r="H359" s="1990" t="s">
        <v>388</v>
      </c>
      <c r="I359" s="1687"/>
      <c r="J359" s="1687"/>
      <c r="K359" s="1687"/>
      <c r="L359" s="1687"/>
      <c r="M359" s="1687"/>
      <c r="N359" s="1687"/>
      <c r="O359" s="1687"/>
      <c r="P359" s="1687"/>
      <c r="Q359" s="1687"/>
      <c r="R359" s="1687"/>
      <c r="S359" s="1687"/>
      <c r="T359" s="1687"/>
      <c r="U359" s="1687"/>
      <c r="V359" s="1687"/>
      <c r="W359" s="1687"/>
      <c r="X359" s="1687"/>
      <c r="Y359" s="1687"/>
      <c r="Z359" s="1687"/>
      <c r="AA359" s="1687"/>
      <c r="AB359" s="1764"/>
      <c r="AC359" s="1764"/>
      <c r="AD359" s="1687" t="s">
        <v>308</v>
      </c>
      <c r="AE359" s="1688"/>
      <c r="AF359" s="1998"/>
      <c r="AG359" s="1631"/>
      <c r="AJ359" s="67">
        <f>IFERROR(VLOOKUP($AB$359,$AL$3:$AM$14,2,FALSE),13)</f>
        <v>13</v>
      </c>
    </row>
    <row r="360" spans="1:48" ht="29.25" customHeight="1">
      <c r="A360" s="1586"/>
      <c r="B360" s="1587"/>
      <c r="C360" s="1587"/>
      <c r="D360" s="1587"/>
      <c r="E360" s="1587"/>
      <c r="F360" s="1630"/>
      <c r="G360" s="2097"/>
      <c r="H360" s="2074" t="s">
        <v>1542</v>
      </c>
      <c r="I360" s="1956"/>
      <c r="J360" s="1956"/>
      <c r="K360" s="1956"/>
      <c r="L360" s="1956"/>
      <c r="M360" s="1956"/>
      <c r="N360" s="1956"/>
      <c r="O360" s="1956"/>
      <c r="P360" s="1956"/>
      <c r="Q360" s="1956"/>
      <c r="R360" s="1956"/>
      <c r="S360" s="1956"/>
      <c r="T360" s="1956"/>
      <c r="U360" s="1956"/>
      <c r="V360" s="1956"/>
      <c r="W360" s="1956"/>
      <c r="X360" s="1956"/>
      <c r="Y360" s="1956"/>
      <c r="Z360" s="1956"/>
      <c r="AA360" s="1956"/>
      <c r="AB360" s="1956"/>
      <c r="AC360" s="1956"/>
      <c r="AD360" s="1956"/>
      <c r="AE360" s="1957"/>
      <c r="AF360" s="1998"/>
      <c r="AG360" s="1631"/>
      <c r="AJ360" s="1294"/>
    </row>
    <row r="361" spans="1:48" ht="15" customHeight="1">
      <c r="A361" s="1586"/>
      <c r="B361" s="1587"/>
      <c r="C361" s="1587"/>
      <c r="D361" s="1587"/>
      <c r="E361" s="1587"/>
      <c r="F361" s="1630"/>
      <c r="G361" s="2097"/>
      <c r="H361" s="1334"/>
      <c r="I361" s="1335"/>
      <c r="J361" s="2071" t="s">
        <v>1535</v>
      </c>
      <c r="K361" s="2072"/>
      <c r="L361" s="2072"/>
      <c r="M361" s="2072"/>
      <c r="N361" s="2072"/>
      <c r="O361" s="2072"/>
      <c r="P361" s="2072"/>
      <c r="Q361" s="2072"/>
      <c r="R361" s="2072"/>
      <c r="S361" s="2072"/>
      <c r="T361" s="2072"/>
      <c r="U361" s="2072"/>
      <c r="V361" s="2072"/>
      <c r="W361" s="2072"/>
      <c r="X361" s="2072"/>
      <c r="Y361" s="2072"/>
      <c r="Z361" s="2072"/>
      <c r="AA361" s="2072"/>
      <c r="AB361" s="2099" t="str">
        <f>IF(SUM(R14:S15)&gt;=3,"○","×")</f>
        <v>×</v>
      </c>
      <c r="AC361" s="2100"/>
      <c r="AD361" s="2100"/>
      <c r="AE361" s="2101"/>
      <c r="AF361" s="1998"/>
      <c r="AG361" s="1631"/>
      <c r="AI361" s="73"/>
      <c r="AJ361" s="1286" t="b">
        <f>AB361="○"</f>
        <v>0</v>
      </c>
    </row>
    <row r="362" spans="1:48" ht="15" customHeight="1">
      <c r="A362" s="1586"/>
      <c r="B362" s="1587"/>
      <c r="C362" s="1587"/>
      <c r="D362" s="1587"/>
      <c r="E362" s="1587"/>
      <c r="F362" s="1630"/>
      <c r="G362" s="2097"/>
      <c r="H362" s="1334"/>
      <c r="I362" s="1335"/>
      <c r="J362" s="2071" t="s">
        <v>1536</v>
      </c>
      <c r="K362" s="2072"/>
      <c r="L362" s="2072"/>
      <c r="M362" s="2072"/>
      <c r="N362" s="2072"/>
      <c r="O362" s="2072"/>
      <c r="P362" s="2072"/>
      <c r="Q362" s="2072"/>
      <c r="R362" s="2072"/>
      <c r="S362" s="2072"/>
      <c r="T362" s="2072"/>
      <c r="U362" s="2072"/>
      <c r="V362" s="2072"/>
      <c r="W362" s="2072"/>
      <c r="X362" s="2072"/>
      <c r="Y362" s="2072"/>
      <c r="Z362" s="2072"/>
      <c r="AA362" s="2072"/>
      <c r="AB362" s="2070"/>
      <c r="AC362" s="1502"/>
      <c r="AD362" s="1502"/>
      <c r="AE362" s="1503"/>
      <c r="AF362" s="1998"/>
      <c r="AG362" s="1631"/>
      <c r="AJ362" s="1286" t="b">
        <f t="shared" ref="AJ362:AJ363" si="33">AB362="○"</f>
        <v>0</v>
      </c>
    </row>
    <row r="363" spans="1:48" ht="27.75" customHeight="1">
      <c r="A363" s="1586"/>
      <c r="B363" s="1587"/>
      <c r="C363" s="1587"/>
      <c r="D363" s="1587"/>
      <c r="E363" s="1587"/>
      <c r="F363" s="1630"/>
      <c r="G363" s="2097"/>
      <c r="H363" s="1334"/>
      <c r="I363" s="1335"/>
      <c r="J363" s="2071" t="s">
        <v>1537</v>
      </c>
      <c r="K363" s="2072"/>
      <c r="L363" s="2072"/>
      <c r="M363" s="2072"/>
      <c r="N363" s="2072"/>
      <c r="O363" s="2072"/>
      <c r="P363" s="2072"/>
      <c r="Q363" s="2072"/>
      <c r="R363" s="2072"/>
      <c r="S363" s="2072"/>
      <c r="T363" s="2072"/>
      <c r="U363" s="2072"/>
      <c r="V363" s="2072"/>
      <c r="W363" s="2072"/>
      <c r="X363" s="2072"/>
      <c r="Y363" s="2072"/>
      <c r="Z363" s="2072"/>
      <c r="AA363" s="2072"/>
      <c r="AB363" s="2070"/>
      <c r="AC363" s="1502"/>
      <c r="AD363" s="1502"/>
      <c r="AE363" s="1503"/>
      <c r="AF363" s="1998"/>
      <c r="AG363" s="1631"/>
      <c r="AJ363" s="1286" t="b">
        <f t="shared" si="33"/>
        <v>0</v>
      </c>
    </row>
    <row r="364" spans="1:48" ht="38.25" customHeight="1">
      <c r="A364" s="1586"/>
      <c r="B364" s="1587"/>
      <c r="C364" s="1587"/>
      <c r="D364" s="1587"/>
      <c r="E364" s="1587"/>
      <c r="F364" s="1693"/>
      <c r="G364" s="2098"/>
      <c r="H364" s="1295"/>
      <c r="I364" s="1296"/>
      <c r="J364" s="2071" t="s">
        <v>1538</v>
      </c>
      <c r="K364" s="2072"/>
      <c r="L364" s="2072"/>
      <c r="M364" s="2072"/>
      <c r="N364" s="2072"/>
      <c r="O364" s="2072"/>
      <c r="P364" s="2072"/>
      <c r="Q364" s="2072"/>
      <c r="R364" s="2072"/>
      <c r="S364" s="2072"/>
      <c r="T364" s="2072"/>
      <c r="U364" s="2072"/>
      <c r="V364" s="2072"/>
      <c r="W364" s="2072"/>
      <c r="X364" s="2072"/>
      <c r="Y364" s="2072"/>
      <c r="Z364" s="2072"/>
      <c r="AA364" s="2072"/>
      <c r="AB364" s="2070"/>
      <c r="AC364" s="1502"/>
      <c r="AD364" s="1502"/>
      <c r="AE364" s="1503"/>
      <c r="AF364" s="1694"/>
      <c r="AG364" s="1976"/>
      <c r="AJ364" s="67">
        <f>IFERROR(VLOOKUP($AB$364,$AL$3:$AM$14,2,FALSE),13)</f>
        <v>13</v>
      </c>
    </row>
    <row r="365" spans="1:48" ht="15" customHeight="1">
      <c r="A365" s="1586"/>
      <c r="B365" s="1587"/>
      <c r="C365" s="1587"/>
      <c r="D365" s="1587"/>
      <c r="E365" s="1587"/>
      <c r="F365" s="1630" t="s">
        <v>90</v>
      </c>
      <c r="G365" s="1539"/>
      <c r="H365" s="1429" t="s">
        <v>529</v>
      </c>
      <c r="I365" s="1429"/>
      <c r="J365" s="1429"/>
      <c r="K365" s="1429"/>
      <c r="L365" s="1429"/>
      <c r="M365" s="1429"/>
      <c r="N365" s="1429"/>
      <c r="O365" s="1429"/>
      <c r="P365" s="1429"/>
      <c r="Q365" s="1429"/>
      <c r="R365" s="1429"/>
      <c r="S365" s="1429"/>
      <c r="T365" s="1429"/>
      <c r="U365" s="1429"/>
      <c r="V365" s="1429"/>
      <c r="W365" s="1429"/>
      <c r="X365" s="1429"/>
      <c r="Y365" s="1429"/>
      <c r="Z365" s="1429"/>
      <c r="AA365" s="1429"/>
      <c r="AB365" s="1429"/>
      <c r="AC365" s="1429"/>
      <c r="AD365" s="1429"/>
      <c r="AE365" s="1429"/>
      <c r="AF365" s="1985" t="str">
        <f>IF(AJ366&lt;=AI349,"○","×")</f>
        <v>×</v>
      </c>
      <c r="AG365" s="1986"/>
      <c r="AJ365" s="67" t="s">
        <v>382</v>
      </c>
    </row>
    <row r="366" spans="1:48" ht="15" customHeight="1">
      <c r="A366" s="1586"/>
      <c r="B366" s="1587"/>
      <c r="C366" s="1587"/>
      <c r="D366" s="1587"/>
      <c r="E366" s="1587"/>
      <c r="F366" s="1630"/>
      <c r="G366" s="1539"/>
      <c r="H366" s="1541" t="s">
        <v>346</v>
      </c>
      <c r="I366" s="1541"/>
      <c r="J366" s="1541"/>
      <c r="K366" s="1541"/>
      <c r="L366" s="1541"/>
      <c r="M366" s="1541"/>
      <c r="N366" s="1541"/>
      <c r="O366" s="1541"/>
      <c r="P366" s="1541"/>
      <c r="Q366" s="1541"/>
      <c r="R366" s="1541"/>
      <c r="S366" s="1541"/>
      <c r="T366" s="1541"/>
      <c r="U366" s="1541"/>
      <c r="V366" s="1541"/>
      <c r="W366" s="1541"/>
      <c r="X366" s="1541"/>
      <c r="Y366" s="1541"/>
      <c r="Z366" s="1541"/>
      <c r="AA366" s="1541"/>
      <c r="AB366" s="2017" t="str">
        <f>IF(AB318=0,"",AB318)</f>
        <v/>
      </c>
      <c r="AC366" s="2017"/>
      <c r="AD366" s="1541" t="s">
        <v>308</v>
      </c>
      <c r="AE366" s="1541"/>
      <c r="AF366" s="1987"/>
      <c r="AG366" s="1988"/>
      <c r="AJ366" s="67">
        <f>IFERROR(VLOOKUP(AB366,$AL$3:$AM$14,2,FALSE),13)</f>
        <v>13</v>
      </c>
    </row>
    <row r="367" spans="1:48" ht="45" customHeight="1">
      <c r="A367" s="1322"/>
      <c r="B367" s="1322"/>
      <c r="C367" s="1322"/>
      <c r="D367" s="1322"/>
      <c r="E367" s="1322"/>
      <c r="F367" s="1647" t="s">
        <v>1530</v>
      </c>
      <c r="G367" s="1648"/>
      <c r="H367" s="1649" t="s">
        <v>1638</v>
      </c>
      <c r="I367" s="1649"/>
      <c r="J367" s="1649"/>
      <c r="K367" s="1649"/>
      <c r="L367" s="1649"/>
      <c r="M367" s="1649"/>
      <c r="N367" s="1649"/>
      <c r="O367" s="1649"/>
      <c r="P367" s="1649"/>
      <c r="Q367" s="1649"/>
      <c r="R367" s="1649"/>
      <c r="S367" s="1649"/>
      <c r="T367" s="1649"/>
      <c r="U367" s="1649"/>
      <c r="V367" s="1649"/>
      <c r="W367" s="1649"/>
      <c r="X367" s="1649"/>
      <c r="Y367" s="1649"/>
      <c r="Z367" s="1649"/>
      <c r="AA367" s="1649"/>
      <c r="AB367" s="1649"/>
      <c r="AC367" s="1649"/>
      <c r="AD367" s="1649"/>
      <c r="AE367" s="1650"/>
      <c r="AF367" s="1652" t="str">
        <f>IF(AF329=0,"",AF329)</f>
        <v/>
      </c>
      <c r="AG367" s="1653"/>
      <c r="AJ367" s="1399" t="b">
        <f>AF367="○"</f>
        <v>0</v>
      </c>
    </row>
    <row r="368" spans="1:48" ht="45" customHeight="1">
      <c r="A368" s="1321"/>
      <c r="B368" s="1321"/>
      <c r="C368" s="1321"/>
      <c r="D368" s="1321"/>
      <c r="E368" s="1323"/>
      <c r="F368" s="1411"/>
      <c r="G368" s="1412"/>
      <c r="H368" s="1414"/>
      <c r="I368" s="1414"/>
      <c r="J368" s="1414"/>
      <c r="K368" s="1414"/>
      <c r="L368" s="1414"/>
      <c r="M368" s="1414"/>
      <c r="N368" s="1414"/>
      <c r="O368" s="1414"/>
      <c r="P368" s="1414"/>
      <c r="Q368" s="1414"/>
      <c r="R368" s="1414"/>
      <c r="S368" s="1414"/>
      <c r="T368" s="1414"/>
      <c r="U368" s="1414"/>
      <c r="V368" s="1414"/>
      <c r="W368" s="1414"/>
      <c r="X368" s="1414"/>
      <c r="Y368" s="1414"/>
      <c r="Z368" s="1414"/>
      <c r="AA368" s="1414"/>
      <c r="AB368" s="1414"/>
      <c r="AC368" s="1414"/>
      <c r="AD368" s="1414"/>
      <c r="AE368" s="1651"/>
      <c r="AF368" s="1654"/>
      <c r="AG368" s="1655"/>
      <c r="AJ368" s="1399"/>
    </row>
    <row r="369" spans="1:62" ht="15" customHeight="1">
      <c r="A369" s="1403" t="s">
        <v>51</v>
      </c>
      <c r="B369" s="1403"/>
      <c r="C369" s="1403"/>
      <c r="D369" s="1403"/>
      <c r="E369" s="1404"/>
      <c r="F369" s="2086" t="s">
        <v>474</v>
      </c>
      <c r="G369" s="2045"/>
      <c r="H369" s="2045"/>
      <c r="I369" s="2045"/>
      <c r="J369" s="2045"/>
      <c r="K369" s="2045"/>
      <c r="L369" s="2045"/>
      <c r="M369" s="2045"/>
      <c r="N369" s="2045"/>
      <c r="O369" s="2045"/>
      <c r="P369" s="2045"/>
      <c r="Q369" s="2045"/>
      <c r="R369" s="2045"/>
      <c r="S369" s="2045"/>
      <c r="T369" s="2045"/>
      <c r="U369" s="2045"/>
      <c r="V369" s="2045"/>
      <c r="W369" s="2045"/>
      <c r="X369" s="2045"/>
      <c r="Y369" s="2045"/>
      <c r="Z369" s="2045"/>
      <c r="AA369" s="2045"/>
      <c r="AB369" s="2045"/>
      <c r="AC369" s="2045"/>
      <c r="AD369" s="2045"/>
      <c r="AE369" s="2045"/>
      <c r="AF369" s="2045"/>
      <c r="AG369" s="2087"/>
      <c r="AH369" s="73"/>
      <c r="AM369" s="109"/>
    </row>
    <row r="370" spans="1:62" ht="40.5" customHeight="1">
      <c r="A370" s="1405"/>
      <c r="B370" s="1405"/>
      <c r="C370" s="1405"/>
      <c r="D370" s="1405"/>
      <c r="E370" s="1406"/>
      <c r="F370" s="1569" t="s">
        <v>1367</v>
      </c>
      <c r="G370" s="1429"/>
      <c r="H370" s="1429"/>
      <c r="I370" s="1429"/>
      <c r="J370" s="1429"/>
      <c r="K370" s="1429"/>
      <c r="L370" s="1429"/>
      <c r="M370" s="1429"/>
      <c r="N370" s="1429"/>
      <c r="O370" s="1429"/>
      <c r="P370" s="1429"/>
      <c r="Q370" s="1429"/>
      <c r="R370" s="1429"/>
      <c r="S370" s="1429"/>
      <c r="T370" s="1429"/>
      <c r="U370" s="1429"/>
      <c r="V370" s="1429"/>
      <c r="W370" s="1429"/>
      <c r="X370" s="1429"/>
      <c r="Y370" s="1429"/>
      <c r="Z370" s="1429"/>
      <c r="AA370" s="1429"/>
      <c r="AB370" s="1429"/>
      <c r="AC370" s="1429"/>
      <c r="AD370" s="1429"/>
      <c r="AE370" s="1429"/>
      <c r="AF370" s="1429"/>
      <c r="AG370" s="1570"/>
      <c r="AH370" s="73"/>
    </row>
    <row r="371" spans="1:62" ht="174.95" customHeight="1">
      <c r="A371" s="1405"/>
      <c r="B371" s="1405"/>
      <c r="C371" s="1405"/>
      <c r="D371" s="1405"/>
      <c r="E371" s="1406"/>
      <c r="F371" s="1569" t="s">
        <v>1045</v>
      </c>
      <c r="G371" s="2029"/>
      <c r="H371" s="2029"/>
      <c r="I371" s="2029"/>
      <c r="J371" s="2029"/>
      <c r="K371" s="2029"/>
      <c r="L371" s="2029"/>
      <c r="M371" s="2029"/>
      <c r="N371" s="2029"/>
      <c r="O371" s="2029"/>
      <c r="P371" s="2029"/>
      <c r="Q371" s="2029"/>
      <c r="R371" s="2029"/>
      <c r="S371" s="2029"/>
      <c r="T371" s="2029"/>
      <c r="U371" s="2029"/>
      <c r="V371" s="2029"/>
      <c r="W371" s="2029"/>
      <c r="X371" s="2029"/>
      <c r="Y371" s="2029"/>
      <c r="Z371" s="2029"/>
      <c r="AA371" s="2029"/>
      <c r="AB371" s="2029"/>
      <c r="AC371" s="2029"/>
      <c r="AD371" s="2029"/>
      <c r="AE371" s="2029"/>
      <c r="AF371" s="2029"/>
      <c r="AG371" s="1570"/>
      <c r="AH371" s="73"/>
    </row>
    <row r="372" spans="1:62" ht="22.5" customHeight="1">
      <c r="A372" s="1405"/>
      <c r="B372" s="1405"/>
      <c r="C372" s="1405"/>
      <c r="D372" s="1405"/>
      <c r="E372" s="1406"/>
      <c r="F372" s="1569" t="s">
        <v>1539</v>
      </c>
      <c r="G372" s="2029"/>
      <c r="H372" s="2029"/>
      <c r="I372" s="2029"/>
      <c r="J372" s="2029"/>
      <c r="K372" s="2029"/>
      <c r="L372" s="2029"/>
      <c r="M372" s="2029"/>
      <c r="N372" s="2029"/>
      <c r="O372" s="2029"/>
      <c r="P372" s="2029"/>
      <c r="Q372" s="2029"/>
      <c r="R372" s="2029"/>
      <c r="S372" s="2029"/>
      <c r="T372" s="2029"/>
      <c r="U372" s="2029"/>
      <c r="V372" s="2029"/>
      <c r="W372" s="2029"/>
      <c r="X372" s="2029"/>
      <c r="Y372" s="2029"/>
      <c r="Z372" s="2029"/>
      <c r="AA372" s="2029"/>
      <c r="AB372" s="2029"/>
      <c r="AC372" s="2029"/>
      <c r="AD372" s="2029"/>
      <c r="AE372" s="2029"/>
      <c r="AF372" s="2029"/>
      <c r="AG372" s="1570"/>
      <c r="AH372" s="73"/>
    </row>
    <row r="373" spans="1:62" ht="35.450000000000003" customHeight="1">
      <c r="A373" s="1407"/>
      <c r="B373" s="1407"/>
      <c r="C373" s="1407"/>
      <c r="D373" s="1407"/>
      <c r="E373" s="1408"/>
      <c r="F373" s="1400" t="s">
        <v>1639</v>
      </c>
      <c r="G373" s="1401"/>
      <c r="H373" s="1401"/>
      <c r="I373" s="1401"/>
      <c r="J373" s="1401"/>
      <c r="K373" s="1401"/>
      <c r="L373" s="1401"/>
      <c r="M373" s="1401"/>
      <c r="N373" s="1401"/>
      <c r="O373" s="1401"/>
      <c r="P373" s="1401"/>
      <c r="Q373" s="1401"/>
      <c r="R373" s="1401"/>
      <c r="S373" s="1401"/>
      <c r="T373" s="1401"/>
      <c r="U373" s="1401"/>
      <c r="V373" s="1401"/>
      <c r="W373" s="1401"/>
      <c r="X373" s="1401"/>
      <c r="Y373" s="1401"/>
      <c r="Z373" s="1401"/>
      <c r="AA373" s="1401"/>
      <c r="AB373" s="1401"/>
      <c r="AC373" s="1401"/>
      <c r="AD373" s="1401"/>
      <c r="AE373" s="1401"/>
      <c r="AF373" s="1401"/>
      <c r="AG373" s="1402"/>
      <c r="AH373" s="73"/>
    </row>
    <row r="374" spans="1:62" ht="24.95" customHeight="1">
      <c r="A374" s="1461" t="s">
        <v>549</v>
      </c>
      <c r="B374" s="1461"/>
      <c r="C374" s="1461"/>
      <c r="D374" s="1461"/>
      <c r="E374" s="1461"/>
      <c r="F374" s="1461"/>
      <c r="G374" s="1461"/>
      <c r="H374" s="1461"/>
      <c r="I374" s="1461"/>
      <c r="J374" s="1461"/>
      <c r="K374" s="1461"/>
      <c r="L374" s="1461"/>
      <c r="M374" s="1461"/>
      <c r="N374" s="1461"/>
      <c r="O374" s="1461"/>
      <c r="P374" s="1461"/>
      <c r="Q374" s="1461"/>
      <c r="R374" s="1461"/>
      <c r="S374" s="1461"/>
      <c r="T374" s="1461"/>
      <c r="U374" s="1461"/>
      <c r="V374" s="1461"/>
      <c r="W374" s="1461"/>
      <c r="X374" s="1461"/>
      <c r="Y374" s="1461"/>
      <c r="Z374" s="1461"/>
      <c r="AA374" s="1461"/>
      <c r="AB374" s="1461"/>
      <c r="AC374" s="1461"/>
      <c r="AD374" s="1461"/>
      <c r="AE374" s="1461"/>
      <c r="AF374" s="1461"/>
      <c r="AG374" s="1461"/>
      <c r="AH374" s="73"/>
    </row>
    <row r="375" spans="1:62" ht="24.95" hidden="1" customHeight="1">
      <c r="A375" s="1429" t="s">
        <v>1173</v>
      </c>
      <c r="B375" s="1429"/>
      <c r="C375" s="1429"/>
      <c r="D375" s="1429"/>
      <c r="E375" s="1429"/>
      <c r="F375" s="1429"/>
      <c r="G375" s="1429"/>
      <c r="H375" s="1429"/>
      <c r="I375" s="1429"/>
      <c r="J375" s="1429"/>
      <c r="K375" s="1429"/>
      <c r="L375" s="1429"/>
      <c r="M375" s="1429"/>
      <c r="N375" s="1429"/>
      <c r="O375" s="1429"/>
      <c r="P375" s="1429"/>
      <c r="Q375" s="1429"/>
      <c r="R375" s="1429"/>
      <c r="S375" s="1429"/>
      <c r="T375" s="1429"/>
      <c r="U375" s="1429"/>
      <c r="V375" s="1429"/>
      <c r="W375" s="1429"/>
      <c r="X375" s="1429"/>
      <c r="Y375" s="1429"/>
      <c r="Z375" s="1429"/>
      <c r="AA375" s="1429"/>
      <c r="AB375" s="1429"/>
      <c r="AC375" s="1429"/>
      <c r="AD375" s="1429"/>
      <c r="AE375" s="1429"/>
      <c r="AF375" s="1429"/>
      <c r="AG375" s="1429"/>
      <c r="AH375" s="73"/>
    </row>
    <row r="376" spans="1:62" s="73" customFormat="1" ht="15" customHeight="1" thickBot="1">
      <c r="A376" s="664"/>
      <c r="B376" s="664"/>
      <c r="C376" s="664"/>
      <c r="D376" s="664"/>
      <c r="E376" s="664"/>
      <c r="F376" s="664"/>
      <c r="G376" s="664"/>
      <c r="H376" s="664"/>
      <c r="I376" s="664"/>
      <c r="J376" s="664"/>
      <c r="K376" s="664"/>
      <c r="L376" s="664"/>
      <c r="M376" s="664"/>
      <c r="N376" s="664"/>
      <c r="O376" s="664"/>
      <c r="P376" s="664"/>
      <c r="Q376" s="664"/>
      <c r="R376" s="664"/>
      <c r="S376" s="664"/>
      <c r="T376" s="664"/>
      <c r="U376" s="664"/>
      <c r="V376" s="664"/>
      <c r="W376" s="664"/>
      <c r="X376" s="664"/>
      <c r="Y376" s="664"/>
      <c r="Z376" s="664"/>
      <c r="AA376" s="664"/>
      <c r="AB376" s="664"/>
      <c r="AC376" s="664"/>
      <c r="AD376" s="664"/>
      <c r="AE376" s="664"/>
      <c r="AF376" s="664"/>
      <c r="AG376" s="664"/>
      <c r="BB376" s="65"/>
      <c r="BC376" s="65"/>
      <c r="BD376" s="65"/>
      <c r="BE376" s="65"/>
      <c r="BF376" s="65"/>
      <c r="BG376" s="65"/>
      <c r="BH376" s="65"/>
      <c r="BI376" s="65"/>
      <c r="BJ376" s="65"/>
    </row>
    <row r="377" spans="1:62" ht="15" customHeight="1" thickBot="1">
      <c r="A377" s="2080" t="s">
        <v>1623</v>
      </c>
      <c r="B377" s="2080"/>
      <c r="C377" s="2080"/>
      <c r="D377" s="2080"/>
      <c r="E377" s="2080"/>
      <c r="F377" s="1575"/>
      <c r="G377" s="1575"/>
      <c r="H377" s="1575"/>
      <c r="I377" s="1575"/>
      <c r="J377" s="1496" t="str">
        <f>IFERROR(IF(F378&lt;0,F378/2,"×"),"エラー")</f>
        <v>×</v>
      </c>
      <c r="K377" s="1497"/>
      <c r="L377" s="1497"/>
      <c r="M377" s="1497"/>
      <c r="N377" s="1498"/>
      <c r="O377" s="1538" t="s">
        <v>268</v>
      </c>
      <c r="P377" s="1539"/>
      <c r="Q377" s="1539"/>
      <c r="R377" s="314"/>
      <c r="S377" s="314"/>
      <c r="T377" s="314"/>
      <c r="U377" s="314"/>
      <c r="V377" s="314"/>
      <c r="W377" s="314"/>
      <c r="X377" s="314"/>
      <c r="Y377" s="314"/>
      <c r="Z377" s="314"/>
      <c r="AA377" s="314"/>
      <c r="AB377" s="314"/>
      <c r="AC377" s="314"/>
      <c r="AD377" s="314"/>
      <c r="AE377" s="314"/>
      <c r="AF377" s="314"/>
      <c r="AG377" s="314"/>
      <c r="AI377" s="66"/>
    </row>
    <row r="378" spans="1:62" ht="15" customHeight="1">
      <c r="A378" s="1470" t="s">
        <v>587</v>
      </c>
      <c r="B378" s="1471"/>
      <c r="C378" s="1471"/>
      <c r="D378" s="1471"/>
      <c r="E378" s="1529"/>
      <c r="F378" s="1470">
        <f>【様式５】職員数算出表!O75</f>
        <v>0</v>
      </c>
      <c r="G378" s="1471"/>
      <c r="H378" s="1471"/>
      <c r="I378" s="1471"/>
      <c r="J378" s="1805"/>
      <c r="K378" s="2037"/>
      <c r="L378" s="314" t="s">
        <v>400</v>
      </c>
      <c r="M378" s="314"/>
      <c r="N378" s="314"/>
      <c r="O378" s="314"/>
      <c r="P378" s="314"/>
      <c r="Q378" s="314"/>
      <c r="R378" s="314"/>
      <c r="S378" s="314"/>
      <c r="T378" s="314"/>
      <c r="U378" s="314"/>
      <c r="V378" s="921"/>
      <c r="W378" s="921"/>
      <c r="X378" s="921"/>
      <c r="Y378" s="921"/>
      <c r="Z378" s="921"/>
      <c r="AA378" s="921"/>
      <c r="AB378" s="921"/>
      <c r="AC378" s="921"/>
      <c r="AD378" s="921"/>
      <c r="AE378" s="314"/>
      <c r="AF378" s="314"/>
      <c r="AG378" s="314"/>
      <c r="AI378" s="66"/>
    </row>
    <row r="379" spans="1:62" ht="15" customHeight="1">
      <c r="A379" s="1466" t="s">
        <v>51</v>
      </c>
      <c r="B379" s="1466"/>
      <c r="C379" s="1466"/>
      <c r="D379" s="1466"/>
      <c r="E379" s="1466"/>
      <c r="F379" s="1467" t="s">
        <v>472</v>
      </c>
      <c r="G379" s="1468"/>
      <c r="H379" s="1468"/>
      <c r="I379" s="1468"/>
      <c r="J379" s="1468"/>
      <c r="K379" s="1468"/>
      <c r="L379" s="1468"/>
      <c r="M379" s="1468"/>
      <c r="N379" s="1468"/>
      <c r="O379" s="1468"/>
      <c r="P379" s="1468"/>
      <c r="Q379" s="1468"/>
      <c r="R379" s="1468"/>
      <c r="S379" s="1468"/>
      <c r="T379" s="1468"/>
      <c r="U379" s="1468"/>
      <c r="V379" s="1468"/>
      <c r="W379" s="1468"/>
      <c r="X379" s="1468"/>
      <c r="Y379" s="1468"/>
      <c r="Z379" s="1468"/>
      <c r="AA379" s="1468"/>
      <c r="AB379" s="1468"/>
      <c r="AC379" s="1468"/>
      <c r="AD379" s="1568"/>
      <c r="AE379" s="314"/>
      <c r="AF379" s="314"/>
      <c r="AG379" s="314"/>
      <c r="AI379" s="66"/>
    </row>
    <row r="380" spans="1:62" s="73" customFormat="1" ht="15" customHeight="1" thickBot="1">
      <c r="A380" s="664"/>
      <c r="B380" s="664"/>
      <c r="C380" s="664"/>
      <c r="D380" s="664"/>
      <c r="E380" s="664"/>
      <c r="F380" s="664"/>
      <c r="G380" s="664"/>
      <c r="H380" s="664"/>
      <c r="I380" s="664"/>
      <c r="J380" s="664"/>
      <c r="K380" s="664"/>
      <c r="L380" s="664"/>
      <c r="M380" s="664"/>
      <c r="N380" s="664"/>
      <c r="O380" s="664"/>
      <c r="P380" s="664"/>
      <c r="Q380" s="664"/>
      <c r="R380" s="664"/>
      <c r="S380" s="664"/>
      <c r="T380" s="664"/>
      <c r="U380" s="664"/>
      <c r="V380" s="664"/>
      <c r="W380" s="664"/>
      <c r="X380" s="664"/>
      <c r="Y380" s="664"/>
      <c r="Z380" s="664"/>
      <c r="AA380" s="664"/>
      <c r="AB380" s="664"/>
      <c r="AC380" s="664"/>
      <c r="AD380" s="664"/>
      <c r="AE380" s="664"/>
      <c r="AF380" s="664"/>
      <c r="AG380" s="664"/>
      <c r="BB380" s="65"/>
      <c r="BC380" s="65"/>
      <c r="BD380" s="65"/>
      <c r="BE380" s="65"/>
      <c r="BF380" s="65"/>
      <c r="BG380" s="65"/>
      <c r="BH380" s="65"/>
      <c r="BI380" s="65"/>
      <c r="BJ380" s="65"/>
    </row>
    <row r="381" spans="1:62" ht="15" customHeight="1" thickBot="1">
      <c r="A381" s="1575" t="s">
        <v>1624</v>
      </c>
      <c r="B381" s="1575"/>
      <c r="C381" s="1575"/>
      <c r="D381" s="1575"/>
      <c r="E381" s="1575"/>
      <c r="F381" s="1575"/>
      <c r="G381" s="1575"/>
      <c r="H381" s="1575"/>
      <c r="I381" s="1575"/>
      <c r="J381" s="1496" t="str">
        <f>IF(OR(AJ389,AJ392),"未入力エラー",IF(AI401,"遡及減算",IF(AND(AI396,DATE($D$10,$I$10,1)&gt;=AI397),"減算解除",IF(AI381,"○","×"))))</f>
        <v>未入力エラー</v>
      </c>
      <c r="K381" s="1497"/>
      <c r="L381" s="1497"/>
      <c r="M381" s="1497"/>
      <c r="N381" s="1498"/>
      <c r="O381" s="1538" t="s">
        <v>268</v>
      </c>
      <c r="P381" s="1539"/>
      <c r="Q381" s="1539"/>
      <c r="R381" s="314"/>
      <c r="S381" s="314"/>
      <c r="T381" s="314"/>
      <c r="U381" s="314"/>
      <c r="V381" s="314"/>
      <c r="W381" s="314"/>
      <c r="X381" s="314"/>
      <c r="Y381" s="314"/>
      <c r="Z381" s="314"/>
      <c r="AA381" s="314"/>
      <c r="AB381" s="314"/>
      <c r="AC381" s="314"/>
      <c r="AD381" s="314"/>
      <c r="AE381" s="314"/>
      <c r="AF381" s="697"/>
      <c r="AG381" s="314"/>
      <c r="AI381" s="1001" t="b">
        <f>AND(AI384,AI385)</f>
        <v>0</v>
      </c>
    </row>
    <row r="382" spans="1:62" ht="15" customHeight="1">
      <c r="A382" s="1401" t="s">
        <v>391</v>
      </c>
      <c r="B382" s="1401"/>
      <c r="C382" s="1401"/>
      <c r="D382" s="1401"/>
      <c r="E382" s="1401"/>
      <c r="F382" s="1401"/>
      <c r="G382" s="1401"/>
      <c r="H382" s="1401"/>
      <c r="I382" s="1401"/>
      <c r="J382" s="1401"/>
      <c r="K382" s="1401"/>
      <c r="L382" s="1401"/>
      <c r="M382" s="1401"/>
      <c r="N382" s="1401"/>
      <c r="O382" s="1401"/>
      <c r="P382" s="1401"/>
      <c r="Q382" s="1401"/>
      <c r="R382" s="1401"/>
      <c r="S382" s="1401"/>
      <c r="T382" s="1401"/>
      <c r="U382" s="1401"/>
      <c r="V382" s="1401"/>
      <c r="W382" s="1401"/>
      <c r="X382" s="1401"/>
      <c r="Y382" s="1401"/>
      <c r="Z382" s="1401"/>
      <c r="AA382" s="1401"/>
      <c r="AB382" s="1401"/>
      <c r="AC382" s="1401"/>
      <c r="AD382" s="1401"/>
      <c r="AE382" s="1401"/>
      <c r="AF382" s="1401"/>
      <c r="AG382" s="1401"/>
      <c r="AI382" s="66"/>
    </row>
    <row r="383" spans="1:62" ht="15" customHeight="1">
      <c r="A383" s="1727" t="s">
        <v>392</v>
      </c>
      <c r="B383" s="1728"/>
      <c r="C383" s="1728"/>
      <c r="D383" s="1728"/>
      <c r="E383" s="1729"/>
      <c r="F383" s="1704" t="s">
        <v>103</v>
      </c>
      <c r="G383" s="1704"/>
      <c r="H383" s="1704"/>
      <c r="I383" s="1704"/>
      <c r="J383" s="1704"/>
      <c r="K383" s="1704"/>
      <c r="L383" s="1704"/>
      <c r="M383" s="1704"/>
      <c r="N383" s="1704"/>
      <c r="O383" s="1704"/>
      <c r="P383" s="1704"/>
      <c r="Q383" s="1704"/>
      <c r="R383" s="1704"/>
      <c r="S383" s="1704"/>
      <c r="T383" s="1704"/>
      <c r="U383" s="1704"/>
      <c r="V383" s="1704"/>
      <c r="W383" s="1704"/>
      <c r="X383" s="1704"/>
      <c r="Y383" s="1704"/>
      <c r="Z383" s="1704"/>
      <c r="AA383" s="1704"/>
      <c r="AB383" s="1704"/>
      <c r="AC383" s="1663"/>
      <c r="AD383" s="1466" t="s">
        <v>269</v>
      </c>
      <c r="AE383" s="1466"/>
      <c r="AF383" s="1466"/>
      <c r="AG383" s="1466"/>
      <c r="AI383" s="66"/>
      <c r="BB383" s="73"/>
      <c r="BC383" s="73"/>
      <c r="BD383" s="73"/>
      <c r="BE383" s="73"/>
      <c r="BF383" s="73"/>
      <c r="BG383" s="73"/>
      <c r="BH383" s="73"/>
      <c r="BI383" s="73"/>
      <c r="BJ383" s="73"/>
    </row>
    <row r="384" spans="1:62" ht="15" customHeight="1">
      <c r="A384" s="1728"/>
      <c r="B384" s="1728"/>
      <c r="C384" s="1728"/>
      <c r="D384" s="1728"/>
      <c r="E384" s="1728"/>
      <c r="F384" s="925">
        <v>1</v>
      </c>
      <c r="G384" s="1711" t="s">
        <v>557</v>
      </c>
      <c r="H384" s="1711"/>
      <c r="I384" s="1711"/>
      <c r="J384" s="1711"/>
      <c r="K384" s="1711"/>
      <c r="L384" s="1711"/>
      <c r="M384" s="1711"/>
      <c r="N384" s="1711"/>
      <c r="O384" s="1711"/>
      <c r="P384" s="1711"/>
      <c r="Q384" s="1711"/>
      <c r="R384" s="1711"/>
      <c r="S384" s="1711"/>
      <c r="T384" s="1711"/>
      <c r="U384" s="1711"/>
      <c r="V384" s="1711"/>
      <c r="W384" s="1711"/>
      <c r="X384" s="1711"/>
      <c r="Y384" s="1711"/>
      <c r="Z384" s="1711"/>
      <c r="AA384" s="1711"/>
      <c r="AB384" s="1711"/>
      <c r="AC384" s="1712"/>
      <c r="AD384" s="1713" t="str">
        <f>IF(AJ390*AJ393=1,"○","×")</f>
        <v>×</v>
      </c>
      <c r="AE384" s="1714"/>
      <c r="AF384" s="1714"/>
      <c r="AG384" s="1528"/>
      <c r="AI384" s="134" t="b">
        <f>AD384="○"</f>
        <v>0</v>
      </c>
    </row>
    <row r="385" spans="1:62" s="73" customFormat="1" ht="15" customHeight="1">
      <c r="A385" s="1728"/>
      <c r="B385" s="1728"/>
      <c r="C385" s="1728"/>
      <c r="D385" s="1728"/>
      <c r="E385" s="1728"/>
      <c r="F385" s="925">
        <v>2</v>
      </c>
      <c r="G385" s="1711" t="s">
        <v>624</v>
      </c>
      <c r="H385" s="1711"/>
      <c r="I385" s="1711"/>
      <c r="J385" s="1711"/>
      <c r="K385" s="1711"/>
      <c r="L385" s="1711"/>
      <c r="M385" s="1711"/>
      <c r="N385" s="1711"/>
      <c r="O385" s="1711"/>
      <c r="P385" s="1711"/>
      <c r="Q385" s="1711"/>
      <c r="R385" s="1711"/>
      <c r="S385" s="1711"/>
      <c r="T385" s="1711"/>
      <c r="U385" s="1711"/>
      <c r="V385" s="1711"/>
      <c r="W385" s="1711"/>
      <c r="X385" s="1711"/>
      <c r="Y385" s="1711"/>
      <c r="Z385" s="1711"/>
      <c r="AA385" s="1711"/>
      <c r="AB385" s="1711"/>
      <c r="AC385" s="1712"/>
      <c r="AD385" s="1713" t="str">
        <f>IF(AI389*AI392=1,"○","×")</f>
        <v>×</v>
      </c>
      <c r="AE385" s="1714"/>
      <c r="AF385" s="1714"/>
      <c r="AG385" s="1528"/>
      <c r="AH385" s="65"/>
      <c r="AI385" s="134" t="b">
        <f>AD385="○"</f>
        <v>0</v>
      </c>
      <c r="AJ385" s="65"/>
      <c r="AK385" s="65"/>
      <c r="AL385" s="65"/>
      <c r="AM385" s="65"/>
      <c r="BB385" s="65"/>
      <c r="BC385" s="65"/>
      <c r="BD385" s="65"/>
      <c r="BE385" s="65"/>
      <c r="BF385" s="65"/>
      <c r="BG385" s="65"/>
      <c r="BH385" s="65"/>
      <c r="BI385" s="65"/>
      <c r="BJ385" s="65"/>
    </row>
    <row r="386" spans="1:62" ht="15" customHeight="1">
      <c r="A386" s="1715" t="s">
        <v>404</v>
      </c>
      <c r="B386" s="1715"/>
      <c r="C386" s="1715"/>
      <c r="D386" s="1715"/>
      <c r="E386" s="1715"/>
      <c r="F386" s="1715"/>
      <c r="G386" s="1715"/>
      <c r="H386" s="1715"/>
      <c r="I386" s="1715"/>
      <c r="J386" s="1715"/>
      <c r="K386" s="1715"/>
      <c r="L386" s="1715"/>
      <c r="M386" s="1715"/>
      <c r="N386" s="1715"/>
      <c r="O386" s="1715"/>
      <c r="P386" s="1715"/>
      <c r="Q386" s="1715"/>
      <c r="R386" s="1715"/>
      <c r="S386" s="1715"/>
      <c r="T386" s="1715"/>
      <c r="U386" s="1715"/>
      <c r="V386" s="1715"/>
      <c r="W386" s="1715"/>
      <c r="X386" s="1715"/>
      <c r="Y386" s="1715"/>
      <c r="Z386" s="1715"/>
      <c r="AA386" s="1715"/>
      <c r="AB386" s="1715"/>
      <c r="AC386" s="1715"/>
      <c r="AD386" s="1715"/>
      <c r="AE386" s="1715"/>
      <c r="AF386" s="1715"/>
      <c r="AG386" s="1715"/>
      <c r="AH386" s="73"/>
      <c r="AI386" s="77"/>
      <c r="AJ386" s="73"/>
      <c r="AK386" s="73"/>
      <c r="AL386" s="73"/>
      <c r="AM386" s="73"/>
    </row>
    <row r="387" spans="1:62" s="73" customFormat="1" ht="15" customHeight="1">
      <c r="A387" s="1759" t="s">
        <v>307</v>
      </c>
      <c r="B387" s="1760"/>
      <c r="C387" s="1760"/>
      <c r="D387" s="1760"/>
      <c r="E387" s="1761"/>
      <c r="F387" s="2035"/>
      <c r="G387" s="2036"/>
      <c r="H387" s="2036"/>
      <c r="I387" s="2036"/>
      <c r="J387" s="1760" t="s">
        <v>11</v>
      </c>
      <c r="K387" s="1760"/>
      <c r="L387" s="2115"/>
      <c r="M387" s="2115"/>
      <c r="N387" s="1760" t="s">
        <v>308</v>
      </c>
      <c r="O387" s="1761"/>
      <c r="P387" s="698" t="s">
        <v>309</v>
      </c>
      <c r="Q387" s="921"/>
      <c r="R387" s="921"/>
      <c r="S387" s="921"/>
      <c r="T387" s="921"/>
      <c r="U387" s="921"/>
      <c r="V387" s="921"/>
      <c r="W387" s="921"/>
      <c r="X387" s="921"/>
      <c r="Y387" s="921"/>
      <c r="Z387" s="921"/>
      <c r="AA387" s="921"/>
      <c r="AB387" s="921"/>
      <c r="AC387" s="921"/>
      <c r="AD387" s="921"/>
      <c r="AE387" s="921"/>
      <c r="AF387" s="921"/>
      <c r="AG387" s="921"/>
      <c r="AH387" s="65"/>
      <c r="AI387" s="68">
        <f>IF(OR(F387=0,L387=0,ISERROR(DATE(F387,L387,1))),DATE(AK2-2,4,1),DATE(F387,L387,1))</f>
        <v>45017</v>
      </c>
      <c r="AJ387" s="65"/>
      <c r="AK387" s="65"/>
      <c r="AL387" s="65"/>
      <c r="AM387" s="65"/>
    </row>
    <row r="388" spans="1:62" ht="15" customHeight="1" thickBot="1">
      <c r="A388" s="1757">
        <f>$AK$2-2</f>
        <v>2023</v>
      </c>
      <c r="B388" s="1757"/>
      <c r="C388" s="1757"/>
      <c r="D388" s="1757"/>
      <c r="E388" s="1757"/>
      <c r="F388" s="1758">
        <f>DATE($A388,AL$388,1)</f>
        <v>45017</v>
      </c>
      <c r="G388" s="1744"/>
      <c r="H388" s="1744">
        <f>DATE($A388,AN$388,1)</f>
        <v>45047</v>
      </c>
      <c r="I388" s="1744"/>
      <c r="J388" s="1744">
        <f>DATE($A388,AP$388,1)</f>
        <v>45078</v>
      </c>
      <c r="K388" s="1744"/>
      <c r="L388" s="1744">
        <f>DATE($A388,AR$388,1)</f>
        <v>45108</v>
      </c>
      <c r="M388" s="1744"/>
      <c r="N388" s="1744">
        <f>DATE($A388,AT$388,1)</f>
        <v>45139</v>
      </c>
      <c r="O388" s="1744"/>
      <c r="P388" s="1744">
        <f>DATE($A388,AV$388,1)</f>
        <v>45170</v>
      </c>
      <c r="Q388" s="1744"/>
      <c r="R388" s="1744">
        <f>DATE($A388,AX$388,1)</f>
        <v>45200</v>
      </c>
      <c r="S388" s="1744"/>
      <c r="T388" s="1744">
        <f t="shared" ref="T388" si="34">DATE($A388,AZ$388,1)</f>
        <v>45231</v>
      </c>
      <c r="U388" s="1744"/>
      <c r="V388" s="1744">
        <f t="shared" ref="V388" si="35">DATE($A388,BB$388,1)</f>
        <v>45261</v>
      </c>
      <c r="W388" s="1744"/>
      <c r="X388" s="1744">
        <f>DATE($A388+1,BD$388,1)</f>
        <v>45292</v>
      </c>
      <c r="Y388" s="1744"/>
      <c r="Z388" s="1744">
        <f>DATE($A388+1,BF$388,1)</f>
        <v>45323</v>
      </c>
      <c r="AA388" s="1744"/>
      <c r="AB388" s="1744">
        <f>DATE($A388+1,BH$388,1)</f>
        <v>45352</v>
      </c>
      <c r="AC388" s="1744"/>
      <c r="AD388" s="1735" t="s">
        <v>1</v>
      </c>
      <c r="AE388" s="1735"/>
      <c r="AF388" s="1735" t="s">
        <v>65</v>
      </c>
      <c r="AG388" s="1735"/>
      <c r="AI388" s="66"/>
      <c r="AL388" s="1555">
        <v>4</v>
      </c>
      <c r="AM388" s="1555"/>
      <c r="AN388" s="1555">
        <v>5</v>
      </c>
      <c r="AO388" s="1555"/>
      <c r="AP388" s="1555">
        <v>6</v>
      </c>
      <c r="AQ388" s="1555"/>
      <c r="AR388" s="1555">
        <v>7</v>
      </c>
      <c r="AS388" s="1555"/>
      <c r="AT388" s="1555">
        <v>8</v>
      </c>
      <c r="AU388" s="1555"/>
      <c r="AV388" s="1555">
        <v>9</v>
      </c>
      <c r="AW388" s="1555"/>
      <c r="AX388" s="1555">
        <v>10</v>
      </c>
      <c r="AY388" s="1555"/>
      <c r="AZ388" s="1555">
        <v>11</v>
      </c>
      <c r="BA388" s="1555"/>
      <c r="BB388" s="1555">
        <v>12</v>
      </c>
      <c r="BC388" s="1555"/>
      <c r="BD388" s="1555">
        <v>1</v>
      </c>
      <c r="BE388" s="1555"/>
      <c r="BF388" s="1555">
        <v>2</v>
      </c>
      <c r="BG388" s="1555"/>
      <c r="BH388" s="1556">
        <v>3</v>
      </c>
      <c r="BI388" s="1556"/>
    </row>
    <row r="389" spans="1:62" ht="15" customHeight="1">
      <c r="A389" s="1676" t="s">
        <v>66</v>
      </c>
      <c r="B389" s="1522"/>
      <c r="C389" s="1522"/>
      <c r="D389" s="1522"/>
      <c r="E389" s="1677"/>
      <c r="F389" s="1867"/>
      <c r="G389" s="1745"/>
      <c r="H389" s="1745"/>
      <c r="I389" s="1745"/>
      <c r="J389" s="1745"/>
      <c r="K389" s="1745"/>
      <c r="L389" s="1745"/>
      <c r="M389" s="1745"/>
      <c r="N389" s="1745"/>
      <c r="O389" s="1745"/>
      <c r="P389" s="1745"/>
      <c r="Q389" s="1745"/>
      <c r="R389" s="1745"/>
      <c r="S389" s="1745"/>
      <c r="T389" s="1745"/>
      <c r="U389" s="1745"/>
      <c r="V389" s="1745"/>
      <c r="W389" s="1745"/>
      <c r="X389" s="1745"/>
      <c r="Y389" s="1745"/>
      <c r="Z389" s="1745"/>
      <c r="AA389" s="1745"/>
      <c r="AB389" s="1745"/>
      <c r="AC389" s="1746"/>
      <c r="AD389" s="1734">
        <f>SUM(AL389:BI389)</f>
        <v>0</v>
      </c>
      <c r="AE389" s="1734"/>
      <c r="AF389" s="1736">
        <f>IFERROR(ROUNDDOWN(AD389/AD390,2),0)</f>
        <v>0</v>
      </c>
      <c r="AG389" s="1737"/>
      <c r="AI389" s="1747" t="b">
        <f>AF389&gt;=120%</f>
        <v>0</v>
      </c>
      <c r="AJ389" s="554" t="b">
        <f>COUNTIF(AL389:BI389,"×")&gt;0</f>
        <v>1</v>
      </c>
      <c r="AK389" s="107" t="s">
        <v>577</v>
      </c>
      <c r="AL389" s="1557" t="str">
        <f>IF(F388&gt;=$AI$387,IF(F389="","×",F389),"△")</f>
        <v>×</v>
      </c>
      <c r="AM389" s="1557"/>
      <c r="AN389" s="1557" t="str">
        <f>IF(H388&gt;=$AI$387,IF(H389="","×",H389),"△")</f>
        <v>×</v>
      </c>
      <c r="AO389" s="1557"/>
      <c r="AP389" s="1557" t="str">
        <f>IF(J388&gt;=$AI$387,IF(J389="","×",J389),"△")</f>
        <v>×</v>
      </c>
      <c r="AQ389" s="1557"/>
      <c r="AR389" s="1557" t="str">
        <f>IF(L388&gt;=$AI$387,IF(L389="","×",L389),"△")</f>
        <v>×</v>
      </c>
      <c r="AS389" s="1557"/>
      <c r="AT389" s="1557" t="str">
        <f>IF(N388&gt;=$AI$387,IF(N389="","×",N389),"△")</f>
        <v>×</v>
      </c>
      <c r="AU389" s="1557"/>
      <c r="AV389" s="1557" t="str">
        <f>IF(P388&gt;=$AI$387,IF(P389="","×",P389),"△")</f>
        <v>×</v>
      </c>
      <c r="AW389" s="1557"/>
      <c r="AX389" s="1557" t="str">
        <f>IF(R388&gt;=$AI$387,IF(R389="","×",R389),"△")</f>
        <v>×</v>
      </c>
      <c r="AY389" s="1557"/>
      <c r="AZ389" s="1557" t="str">
        <f>IF(T388&gt;=$AI$387,IF(T389="","×",T389),"△")</f>
        <v>×</v>
      </c>
      <c r="BA389" s="1557"/>
      <c r="BB389" s="1557" t="str">
        <f t="shared" ref="BB389" si="36">IF(V388&gt;=$AI$387,IF(V389="","×",V389),"△")</f>
        <v>×</v>
      </c>
      <c r="BC389" s="1557"/>
      <c r="BD389" s="1557" t="str">
        <f t="shared" ref="BD389" si="37">IF(X388&gt;=$AI$387,IF(X389="","×",X389),"△")</f>
        <v>×</v>
      </c>
      <c r="BE389" s="1557"/>
      <c r="BF389" s="1557" t="str">
        <f t="shared" ref="BF389" si="38">IF(Z388&gt;=$AI$387,IF(Z389="","×",Z389),"△")</f>
        <v>×</v>
      </c>
      <c r="BG389" s="1557"/>
      <c r="BH389" s="1557" t="str">
        <f t="shared" ref="BH389" si="39">IF(AB388&gt;=$AI$387,IF(AB389="","×",AB389),"△")</f>
        <v>×</v>
      </c>
      <c r="BI389" s="1557"/>
    </row>
    <row r="390" spans="1:62" s="73" customFormat="1" ht="15" customHeight="1" thickBot="1">
      <c r="A390" s="2031" t="s">
        <v>67</v>
      </c>
      <c r="B390" s="2031"/>
      <c r="C390" s="2031"/>
      <c r="D390" s="2031"/>
      <c r="E390" s="2031"/>
      <c r="F390" s="2032">
        <f>IF(F388&gt;=$AI$387,+$H$14,"")</f>
        <v>0</v>
      </c>
      <c r="G390" s="1730"/>
      <c r="H390" s="1730">
        <f>IF(H388=$AI$387,+$H$14,F390)</f>
        <v>0</v>
      </c>
      <c r="I390" s="1730"/>
      <c r="J390" s="1730">
        <f>IF(J388=$AI$387,+$H$14,H390)</f>
        <v>0</v>
      </c>
      <c r="K390" s="1730"/>
      <c r="L390" s="1730">
        <f>IF(L388=$AI$387,+$H$14,J390)</f>
        <v>0</v>
      </c>
      <c r="M390" s="1730"/>
      <c r="N390" s="1730">
        <f>IF(N388=$AI$387,+$H$14,L390)</f>
        <v>0</v>
      </c>
      <c r="O390" s="1730"/>
      <c r="P390" s="1730">
        <f>IF(P388=$AI$387,+$H$14,N390)</f>
        <v>0</v>
      </c>
      <c r="Q390" s="1730"/>
      <c r="R390" s="1730">
        <f>IF(R388=$AI$387,+$H$14,P390)</f>
        <v>0</v>
      </c>
      <c r="S390" s="1730"/>
      <c r="T390" s="1730">
        <f>IF(T388=$AI$387,+$H$14,R390)</f>
        <v>0</v>
      </c>
      <c r="U390" s="1730"/>
      <c r="V390" s="1730">
        <f>IF(V388=$AI$387,+$H$14,T390)</f>
        <v>0</v>
      </c>
      <c r="W390" s="1730"/>
      <c r="X390" s="1730">
        <f>IF(X388=$AI$387,+$H$14,V390)</f>
        <v>0</v>
      </c>
      <c r="Y390" s="1730"/>
      <c r="Z390" s="1730">
        <f>IF(Z388=$AI$387,+$H$14,X390)</f>
        <v>0</v>
      </c>
      <c r="AA390" s="1730"/>
      <c r="AB390" s="1730">
        <f>IF(AB388=$AI$387,+$H$14,Z390)</f>
        <v>0</v>
      </c>
      <c r="AC390" s="1740"/>
      <c r="AD390" s="1741">
        <f>SUM(F390:AC390)</f>
        <v>0</v>
      </c>
      <c r="AE390" s="1741"/>
      <c r="AF390" s="1738"/>
      <c r="AG390" s="1739"/>
      <c r="AH390" s="65"/>
      <c r="AI390" s="1748"/>
      <c r="AJ390" s="1002" t="b">
        <f>AND(COUNTIF(AL390:BI390,1)&gt;=1,COUNTIF(AL390:BI390,2)=0)</f>
        <v>0</v>
      </c>
      <c r="AK390" s="108" t="s">
        <v>578</v>
      </c>
      <c r="AL390" s="1742">
        <f>IF(OR(AL389="×",AL389="△"),0,IF(F389&gt;F390,1,2))</f>
        <v>0</v>
      </c>
      <c r="AM390" s="1743"/>
      <c r="AN390" s="1558">
        <f t="shared" ref="AN390" si="40">IF(OR(AN389="×",AN389="△"),0,IF(H389&gt;H390,1,2))</f>
        <v>0</v>
      </c>
      <c r="AO390" s="1559"/>
      <c r="AP390" s="1558">
        <f t="shared" ref="AP390" si="41">IF(OR(AP389="×",AP389="△"),0,IF(J389&gt;J390,1,2))</f>
        <v>0</v>
      </c>
      <c r="AQ390" s="1559"/>
      <c r="AR390" s="1558">
        <f t="shared" ref="AR390" si="42">IF(OR(AR389="×",AR389="△"),0,IF(L389&gt;L390,1,2))</f>
        <v>0</v>
      </c>
      <c r="AS390" s="1559"/>
      <c r="AT390" s="1558">
        <f t="shared" ref="AT390" si="43">IF(OR(AT389="×",AT389="△"),0,IF(N389&gt;N390,1,2))</f>
        <v>0</v>
      </c>
      <c r="AU390" s="1559"/>
      <c r="AV390" s="1558">
        <f>IF(OR(AV389="×",AV389="△"),0,IF(P389&gt;P390,1,2))</f>
        <v>0</v>
      </c>
      <c r="AW390" s="1559"/>
      <c r="AX390" s="1558">
        <f>IF(OR(AX389="×",AX389="△"),0,IF(R389&gt;R390,1,2))</f>
        <v>0</v>
      </c>
      <c r="AY390" s="1559"/>
      <c r="AZ390" s="1558">
        <f>IF(OR(AZ389="×",AZ389="△"),0,IF(T389&gt;T390,1,2))</f>
        <v>0</v>
      </c>
      <c r="BA390" s="1559"/>
      <c r="BB390" s="1558">
        <f>IF(OR(BB389="×",BB389="△"),0,IF(V389&gt;V390,1,2))</f>
        <v>0</v>
      </c>
      <c r="BC390" s="1559"/>
      <c r="BD390" s="1558">
        <f>IF(OR(BD389="×",BD389="△"),0,IF(X389&gt;X390,1,2))</f>
        <v>0</v>
      </c>
      <c r="BE390" s="1559"/>
      <c r="BF390" s="1558">
        <f>IF(OR(BF389="×",BF389="△"),0,IF(Z389&gt;Z390,1,2))</f>
        <v>0</v>
      </c>
      <c r="BG390" s="1559"/>
      <c r="BH390" s="1558">
        <f>IF(OR(BH389="×",BH389="△"),0,IF(AB389&gt;AB390,1,2))</f>
        <v>0</v>
      </c>
      <c r="BI390" s="1560"/>
      <c r="BJ390" s="65"/>
    </row>
    <row r="391" spans="1:62" ht="15" customHeight="1" thickBot="1">
      <c r="A391" s="1757">
        <f>$AK$2-1</f>
        <v>2024</v>
      </c>
      <c r="B391" s="1757"/>
      <c r="C391" s="1757"/>
      <c r="D391" s="1757"/>
      <c r="E391" s="1757"/>
      <c r="F391" s="1758">
        <f>DATE($A391,AL$388,1)</f>
        <v>45383</v>
      </c>
      <c r="G391" s="1744"/>
      <c r="H391" s="1744">
        <f>DATE($A391,AN$388,1)</f>
        <v>45413</v>
      </c>
      <c r="I391" s="1744"/>
      <c r="J391" s="1744">
        <f>DATE($A391,AP$388,1)</f>
        <v>45444</v>
      </c>
      <c r="K391" s="1744"/>
      <c r="L391" s="1744">
        <f>DATE($A391,AR$388,1)</f>
        <v>45474</v>
      </c>
      <c r="M391" s="1744"/>
      <c r="N391" s="1744">
        <f>DATE($A391,AT$388,1)</f>
        <v>45505</v>
      </c>
      <c r="O391" s="1744"/>
      <c r="P391" s="1744">
        <f>DATE($A391,AV$388,1)</f>
        <v>45536</v>
      </c>
      <c r="Q391" s="1744"/>
      <c r="R391" s="1744">
        <f>DATE($A391,AX$388,1)</f>
        <v>45566</v>
      </c>
      <c r="S391" s="1744"/>
      <c r="T391" s="1744">
        <f>DATE($A391,AZ$388,1)</f>
        <v>45597</v>
      </c>
      <c r="U391" s="1744"/>
      <c r="V391" s="1744">
        <f t="shared" ref="V391" si="44">DATE($A391,BB$388,1)</f>
        <v>45627</v>
      </c>
      <c r="W391" s="1744"/>
      <c r="X391" s="1744">
        <f>DATE($A391+1,BD$388,1)</f>
        <v>45658</v>
      </c>
      <c r="Y391" s="1744"/>
      <c r="Z391" s="1744">
        <f>DATE($A391+1,BF$388,1)</f>
        <v>45689</v>
      </c>
      <c r="AA391" s="1744"/>
      <c r="AB391" s="1744">
        <f>DATE($A391+1,BH$388,1)</f>
        <v>45717</v>
      </c>
      <c r="AC391" s="1744"/>
      <c r="AD391" s="1735" t="s">
        <v>1</v>
      </c>
      <c r="AE391" s="1735"/>
      <c r="AF391" s="1735" t="s">
        <v>65</v>
      </c>
      <c r="AG391" s="1735"/>
      <c r="AI391" s="66"/>
    </row>
    <row r="392" spans="1:62" ht="15" customHeight="1">
      <c r="A392" s="1676" t="s">
        <v>66</v>
      </c>
      <c r="B392" s="1522"/>
      <c r="C392" s="1522"/>
      <c r="D392" s="1522"/>
      <c r="E392" s="1677"/>
      <c r="F392" s="1867"/>
      <c r="G392" s="1745"/>
      <c r="H392" s="1745"/>
      <c r="I392" s="1745"/>
      <c r="J392" s="1745"/>
      <c r="K392" s="1745"/>
      <c r="L392" s="1745"/>
      <c r="M392" s="1745"/>
      <c r="N392" s="1745"/>
      <c r="O392" s="1745"/>
      <c r="P392" s="1745"/>
      <c r="Q392" s="1745"/>
      <c r="R392" s="1745"/>
      <c r="S392" s="1745"/>
      <c r="T392" s="1745"/>
      <c r="U392" s="1745"/>
      <c r="V392" s="1745"/>
      <c r="W392" s="1745"/>
      <c r="X392" s="1745"/>
      <c r="Y392" s="1745"/>
      <c r="Z392" s="1745"/>
      <c r="AA392" s="1745"/>
      <c r="AB392" s="1745"/>
      <c r="AC392" s="1746"/>
      <c r="AD392" s="1734">
        <f>SUM(AL392:BI392)</f>
        <v>0</v>
      </c>
      <c r="AE392" s="1734"/>
      <c r="AF392" s="1736">
        <f>IFERROR(ROUNDDOWN(AD392/AD393,2),0)</f>
        <v>0</v>
      </c>
      <c r="AG392" s="1737"/>
      <c r="AI392" s="1747" t="b">
        <f>AF392&gt;=120%</f>
        <v>0</v>
      </c>
      <c r="AJ392" s="554" t="b">
        <f>COUNTIF(AL392:BI392,"×")&gt;0</f>
        <v>1</v>
      </c>
      <c r="AK392" s="107" t="s">
        <v>577</v>
      </c>
      <c r="AL392" s="1557" t="str">
        <f>IF(F391&gt;=$AI$387,IF(F392="","×",F392),"△")</f>
        <v>×</v>
      </c>
      <c r="AM392" s="1557"/>
      <c r="AN392" s="1557" t="str">
        <f>IF(H391&gt;=$AI$387,IF(H392="","×",H392),"△")</f>
        <v>×</v>
      </c>
      <c r="AO392" s="1557"/>
      <c r="AP392" s="1557" t="str">
        <f>IF(J391&gt;=$AI$387,IF(J392="","×",J392),"△")</f>
        <v>×</v>
      </c>
      <c r="AQ392" s="1557"/>
      <c r="AR392" s="1557" t="str">
        <f>IF(L391&gt;=$AI$387,IF(L392="","×",L392),"△")</f>
        <v>×</v>
      </c>
      <c r="AS392" s="1557"/>
      <c r="AT392" s="1557" t="str">
        <f>IF(N391&gt;=$AI$387,IF(N392="","×",N392),"△")</f>
        <v>×</v>
      </c>
      <c r="AU392" s="1557"/>
      <c r="AV392" s="1557" t="str">
        <f>IF(P391&gt;=$AI$387,IF(P392="","×",P392),"△")</f>
        <v>×</v>
      </c>
      <c r="AW392" s="1557"/>
      <c r="AX392" s="1557" t="str">
        <f>IF(R391&gt;=$AI$387,IF(R392="","×",R392),"△")</f>
        <v>×</v>
      </c>
      <c r="AY392" s="1557"/>
      <c r="AZ392" s="1557" t="str">
        <f>IF(T391&gt;=$AI$387,IF(T392="","×",T392),"△")</f>
        <v>×</v>
      </c>
      <c r="BA392" s="1557"/>
      <c r="BB392" s="1557" t="str">
        <f t="shared" ref="BB392" si="45">IF(V391&gt;=$AI$387,IF(V392="","×",V392),"△")</f>
        <v>×</v>
      </c>
      <c r="BC392" s="1557"/>
      <c r="BD392" s="1557" t="str">
        <f t="shared" ref="BD392" si="46">IF(X391&gt;=$AI$387,IF(X392="","×",X392),"△")</f>
        <v>×</v>
      </c>
      <c r="BE392" s="1557"/>
      <c r="BF392" s="1557" t="str">
        <f t="shared" ref="BF392" si="47">IF(Z391&gt;=$AI$387,IF(Z392="","×",Z392),"△")</f>
        <v>×</v>
      </c>
      <c r="BG392" s="1557"/>
      <c r="BH392" s="1557" t="str">
        <f>IF(AB391&gt;=$AI$387,IF(AB392="","×",AB392),"△")</f>
        <v>×</v>
      </c>
      <c r="BI392" s="1557"/>
      <c r="BJ392" s="73"/>
    </row>
    <row r="393" spans="1:62" s="73" customFormat="1" ht="15" customHeight="1" thickBot="1">
      <c r="A393" s="2031" t="s">
        <v>67</v>
      </c>
      <c r="B393" s="2031"/>
      <c r="C393" s="2031"/>
      <c r="D393" s="2031"/>
      <c r="E393" s="2031"/>
      <c r="F393" s="2032">
        <f>IF(F391=$AI$387,+$H$14,AB390)</f>
        <v>0</v>
      </c>
      <c r="G393" s="1730"/>
      <c r="H393" s="1730">
        <f>IF(H391=$AI$387,+$H$14,F393)</f>
        <v>0</v>
      </c>
      <c r="I393" s="1730"/>
      <c r="J393" s="1730">
        <f>IF(J391=$AI$387,+$H$14,H393)</f>
        <v>0</v>
      </c>
      <c r="K393" s="1730"/>
      <c r="L393" s="1730">
        <f>IF(L391=$AI$387,+$H$14,J393)</f>
        <v>0</v>
      </c>
      <c r="M393" s="1730"/>
      <c r="N393" s="1730">
        <f>IF(N391=$AI$387,+$H$14,L393)</f>
        <v>0</v>
      </c>
      <c r="O393" s="1730"/>
      <c r="P393" s="1730">
        <f>IF(P391=$AI$387,+$H$14,N393)</f>
        <v>0</v>
      </c>
      <c r="Q393" s="1730"/>
      <c r="R393" s="1730">
        <f>IF(R391=$AI$387,+$H$14,P393)</f>
        <v>0</v>
      </c>
      <c r="S393" s="1730"/>
      <c r="T393" s="1730">
        <f>IF(T391=$AI$387,+$H$14,R393)</f>
        <v>0</v>
      </c>
      <c r="U393" s="1730"/>
      <c r="V393" s="1730">
        <f>IF(V391=$AI$387,+$H$14,T393)</f>
        <v>0</v>
      </c>
      <c r="W393" s="1730"/>
      <c r="X393" s="1730">
        <f>IF(X391=$AI$387,+$H$14,V393)</f>
        <v>0</v>
      </c>
      <c r="Y393" s="1730"/>
      <c r="Z393" s="1730">
        <f>IF(Z391=$AI$387,+$H$14,X393)</f>
        <v>0</v>
      </c>
      <c r="AA393" s="1730"/>
      <c r="AB393" s="1730">
        <f>IF(AB391=$AI$387,+$H$14,Z393)</f>
        <v>0</v>
      </c>
      <c r="AC393" s="1740"/>
      <c r="AD393" s="1741">
        <f t="shared" ref="AD393" si="48">SUM(F393:AC393)</f>
        <v>0</v>
      </c>
      <c r="AE393" s="1741"/>
      <c r="AF393" s="1738"/>
      <c r="AG393" s="1739"/>
      <c r="AH393" s="65"/>
      <c r="AI393" s="1748"/>
      <c r="AJ393" s="1002" t="b">
        <f>AND(COUNTIF(AL393:BI393,1)&gt;=1,COUNTIF(AL393:BI393,2)=0)</f>
        <v>0</v>
      </c>
      <c r="AK393" s="108" t="s">
        <v>578</v>
      </c>
      <c r="AL393" s="1563">
        <f t="shared" ref="AL393" si="49">IF(OR(AL392="×",AL392="△"),0,IF(F392&gt;F393,1,2))</f>
        <v>0</v>
      </c>
      <c r="AM393" s="1563"/>
      <c r="AN393" s="1563">
        <f t="shared" ref="AN393" si="50">IF(OR(AN392="×",AN392="△"),0,IF(H392&gt;H393,1,2))</f>
        <v>0</v>
      </c>
      <c r="AO393" s="1563"/>
      <c r="AP393" s="1563">
        <f t="shared" ref="AP393" si="51">IF(OR(AP392="×",AP392="△"),0,IF(J392&gt;J393,1,2))</f>
        <v>0</v>
      </c>
      <c r="AQ393" s="1563"/>
      <c r="AR393" s="1563">
        <f t="shared" ref="AR393" si="52">IF(OR(AR392="×",AR392="△"),0,IF(L392&gt;L393,1,2))</f>
        <v>0</v>
      </c>
      <c r="AS393" s="1563"/>
      <c r="AT393" s="1563">
        <f t="shared" ref="AT393" si="53">IF(OR(AT392="×",AT392="△"),0,IF(N392&gt;N393,1,2))</f>
        <v>0</v>
      </c>
      <c r="AU393" s="1563"/>
      <c r="AV393" s="1563">
        <f>IF(OR(AV392="×",AV392="△"),0,IF(P392&gt;P393,1,2))</f>
        <v>0</v>
      </c>
      <c r="AW393" s="1563"/>
      <c r="AX393" s="1563">
        <f>IF(OR(AX392="×",AX392="△"),0,IF(R392&gt;R393,1,2))</f>
        <v>0</v>
      </c>
      <c r="AY393" s="1563"/>
      <c r="AZ393" s="1563">
        <f>IF(OR(AZ392="×",AZ392="△"),0,IF(T392&gt;T393,1,2))</f>
        <v>0</v>
      </c>
      <c r="BA393" s="1563"/>
      <c r="BB393" s="1563">
        <f>IF(OR(BB392="×",BB392="△"),0,IF(V392&gt;V393,1,2))</f>
        <v>0</v>
      </c>
      <c r="BC393" s="1563"/>
      <c r="BD393" s="1563">
        <f>IF(OR(BD392="×",BD392="△"),0,IF(X392&gt;X393,1,2))</f>
        <v>0</v>
      </c>
      <c r="BE393" s="1563"/>
      <c r="BF393" s="1563">
        <f>IF(OR(BF392="×",BF392="△"),0,IF(Z392&gt;Z393,1,2))</f>
        <v>0</v>
      </c>
      <c r="BG393" s="1563"/>
      <c r="BH393" s="1563">
        <f>IF(OR(BH392="×",BH392="△"),0,IF(AB392&gt;AB393,1,2))</f>
        <v>0</v>
      </c>
      <c r="BI393" s="1564"/>
      <c r="BJ393" s="65"/>
    </row>
    <row r="394" spans="1:62" ht="15" customHeight="1">
      <c r="A394" s="1718" t="s">
        <v>310</v>
      </c>
      <c r="B394" s="1718"/>
      <c r="C394" s="1718"/>
      <c r="D394" s="1718"/>
      <c r="E394" s="1718"/>
      <c r="F394" s="1718"/>
      <c r="G394" s="1718"/>
      <c r="H394" s="1718"/>
      <c r="I394" s="1718"/>
      <c r="J394" s="1718"/>
      <c r="K394" s="1718"/>
      <c r="L394" s="1718"/>
      <c r="M394" s="1718"/>
      <c r="N394" s="1718"/>
      <c r="O394" s="1718"/>
      <c r="P394" s="1718"/>
      <c r="Q394" s="1718"/>
      <c r="R394" s="1718"/>
      <c r="S394" s="1718"/>
      <c r="T394" s="1718"/>
      <c r="U394" s="1718"/>
      <c r="V394" s="1718"/>
      <c r="W394" s="1718"/>
      <c r="X394" s="1718"/>
      <c r="Y394" s="1718"/>
      <c r="Z394" s="1718"/>
      <c r="AA394" s="1718"/>
      <c r="AB394" s="1718"/>
      <c r="AC394" s="1718"/>
      <c r="AD394" s="1718"/>
      <c r="AE394" s="1718"/>
      <c r="AF394" s="1718"/>
      <c r="AG394" s="1718"/>
      <c r="AH394" s="73"/>
      <c r="AI394" s="77"/>
      <c r="AJ394" s="73"/>
      <c r="AK394" s="73"/>
      <c r="AL394" s="73"/>
      <c r="AM394" s="73"/>
      <c r="BB394" s="73"/>
      <c r="BC394" s="73"/>
      <c r="BD394" s="73"/>
      <c r="BE394" s="73"/>
      <c r="BF394" s="73"/>
      <c r="BG394" s="73"/>
      <c r="BH394" s="73"/>
      <c r="BI394" s="73"/>
      <c r="BJ394" s="73"/>
    </row>
    <row r="395" spans="1:62" ht="15" customHeight="1">
      <c r="A395" s="1583" t="s">
        <v>311</v>
      </c>
      <c r="B395" s="1611"/>
      <c r="C395" s="1611"/>
      <c r="D395" s="1611"/>
      <c r="E395" s="1611"/>
      <c r="F395" s="1704" t="s">
        <v>103</v>
      </c>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5"/>
      <c r="AD395" s="1466" t="s">
        <v>269</v>
      </c>
      <c r="AE395" s="1466"/>
      <c r="AF395" s="1466"/>
      <c r="AG395" s="1466"/>
      <c r="AH395" s="73"/>
      <c r="AI395" s="77"/>
      <c r="AJ395" s="73"/>
      <c r="AK395" s="73"/>
      <c r="AL395" s="73"/>
      <c r="AM395" s="73"/>
    </row>
    <row r="396" spans="1:62" ht="15" customHeight="1">
      <c r="A396" s="1586"/>
      <c r="B396" s="1587"/>
      <c r="C396" s="1587"/>
      <c r="D396" s="1587"/>
      <c r="E396" s="1587"/>
      <c r="F396" s="989">
        <v>1</v>
      </c>
      <c r="G396" s="1606" t="s">
        <v>1052</v>
      </c>
      <c r="H396" s="1606"/>
      <c r="I396" s="1606"/>
      <c r="J396" s="1606"/>
      <c r="K396" s="1606"/>
      <c r="L396" s="1606"/>
      <c r="M396" s="1606"/>
      <c r="N396" s="1606"/>
      <c r="O396" s="1606"/>
      <c r="P396" s="1606"/>
      <c r="Q396" s="1606"/>
      <c r="R396" s="1606"/>
      <c r="S396" s="1606"/>
      <c r="T396" s="1606"/>
      <c r="U396" s="1606"/>
      <c r="V396" s="1606"/>
      <c r="W396" s="1606"/>
      <c r="X396" s="1606"/>
      <c r="Y396" s="1606"/>
      <c r="Z396" s="1606"/>
      <c r="AA396" s="1606"/>
      <c r="AB396" s="1606"/>
      <c r="AC396" s="1686"/>
      <c r="AD396" s="1583" t="str">
        <f>IF(AI381,IF(AND(S397&lt;&gt;0,X397&lt;&gt;0,AA397&lt;&gt;0,S398&lt;&gt;0,S399&lt;&gt;0,S400="○"),"○","×"),"")</f>
        <v/>
      </c>
      <c r="AE396" s="1584"/>
      <c r="AF396" s="1584"/>
      <c r="AG396" s="1585"/>
      <c r="AH396" s="73"/>
      <c r="AI396" s="134" t="b">
        <f>AD396="○"</f>
        <v>0</v>
      </c>
      <c r="AJ396" s="73"/>
      <c r="AK396" s="73"/>
      <c r="AL396" s="73"/>
      <c r="AM396" s="73"/>
    </row>
    <row r="397" spans="1:62" customFormat="1" ht="15" customHeight="1">
      <c r="A397" s="1586"/>
      <c r="B397" s="1587"/>
      <c r="C397" s="1587"/>
      <c r="D397" s="1587"/>
      <c r="E397" s="1587"/>
      <c r="F397" s="1003"/>
      <c r="G397" s="1600" t="s">
        <v>1053</v>
      </c>
      <c r="H397" s="1600"/>
      <c r="I397" s="1600"/>
      <c r="J397" s="1600"/>
      <c r="K397" s="1600"/>
      <c r="L397" s="1600"/>
      <c r="M397" s="1600"/>
      <c r="N397" s="1600"/>
      <c r="O397" s="1600"/>
      <c r="P397" s="1600"/>
      <c r="Q397" s="1600"/>
      <c r="R397" s="1600"/>
      <c r="S397" s="1601"/>
      <c r="T397" s="1601"/>
      <c r="U397" s="1601"/>
      <c r="V397" s="1601"/>
      <c r="W397" s="1004" t="s">
        <v>11</v>
      </c>
      <c r="X397" s="1602"/>
      <c r="Y397" s="1602"/>
      <c r="Z397" s="1004" t="s">
        <v>308</v>
      </c>
      <c r="AA397" s="1602"/>
      <c r="AB397" s="1602"/>
      <c r="AC397" s="1005" t="s">
        <v>647</v>
      </c>
      <c r="AD397" s="1586"/>
      <c r="AE397" s="1587"/>
      <c r="AF397" s="1587"/>
      <c r="AG397" s="1588"/>
      <c r="AH397" s="73"/>
      <c r="AI397" s="1006">
        <f>IF(AA397=1,DATE(S397,X397,AA397),DATE(S397,X397+1,1))</f>
        <v>1</v>
      </c>
      <c r="BJ397" s="73"/>
    </row>
    <row r="398" spans="1:62" customFormat="1" ht="15" customHeight="1">
      <c r="A398" s="1586"/>
      <c r="B398" s="1587"/>
      <c r="C398" s="1587"/>
      <c r="D398" s="1587"/>
      <c r="E398" s="1587"/>
      <c r="F398" s="1007"/>
      <c r="G398" s="1539" t="s">
        <v>1054</v>
      </c>
      <c r="H398" s="1539"/>
      <c r="I398" s="1539"/>
      <c r="J398" s="1539"/>
      <c r="K398" s="1539"/>
      <c r="L398" s="1539"/>
      <c r="M398" s="1539"/>
      <c r="N398" s="1539"/>
      <c r="O398" s="1539"/>
      <c r="P398" s="1539"/>
      <c r="Q398" s="1539"/>
      <c r="R398" s="1539"/>
      <c r="S398" s="1464"/>
      <c r="T398" s="1464"/>
      <c r="U398" s="1464"/>
      <c r="V398" s="1464"/>
      <c r="W398" s="1464"/>
      <c r="X398" s="1464"/>
      <c r="Y398" s="1464"/>
      <c r="Z398" s="1464"/>
      <c r="AA398" s="1464"/>
      <c r="AB398" s="1464"/>
      <c r="AC398" s="1465"/>
      <c r="AD398" s="1586"/>
      <c r="AE398" s="1587"/>
      <c r="AF398" s="1587"/>
      <c r="AG398" s="1588"/>
      <c r="AH398" s="73"/>
      <c r="AI398" s="1008"/>
      <c r="BB398" s="65"/>
      <c r="BJ398" s="65"/>
    </row>
    <row r="399" spans="1:62" customFormat="1" ht="15" customHeight="1">
      <c r="A399" s="1586"/>
      <c r="B399" s="1587"/>
      <c r="C399" s="1587"/>
      <c r="D399" s="1587"/>
      <c r="E399" s="1587"/>
      <c r="F399" s="1007"/>
      <c r="G399" s="1603" t="s">
        <v>1055</v>
      </c>
      <c r="H399" s="1603"/>
      <c r="I399" s="1603"/>
      <c r="J399" s="1603"/>
      <c r="K399" s="1603"/>
      <c r="L399" s="1603"/>
      <c r="M399" s="1603"/>
      <c r="N399" s="1603"/>
      <c r="O399" s="1603"/>
      <c r="P399" s="1603"/>
      <c r="Q399" s="1603"/>
      <c r="R399" s="1603"/>
      <c r="S399" s="1604"/>
      <c r="T399" s="1604"/>
      <c r="U399" s="1604"/>
      <c r="V399" s="1604"/>
      <c r="W399" s="1604"/>
      <c r="X399" s="1604"/>
      <c r="Y399" s="1604"/>
      <c r="Z399" s="1604"/>
      <c r="AA399" s="1604"/>
      <c r="AB399" s="1604"/>
      <c r="AC399" s="1605"/>
      <c r="AD399" s="1586"/>
      <c r="AE399" s="1587"/>
      <c r="AF399" s="1587"/>
      <c r="AG399" s="1588"/>
      <c r="AH399" s="73"/>
      <c r="AI399" s="82"/>
      <c r="BJ399" s="65"/>
    </row>
    <row r="400" spans="1:62" customFormat="1" ht="15" customHeight="1">
      <c r="A400" s="1586"/>
      <c r="B400" s="1587"/>
      <c r="C400" s="1587"/>
      <c r="D400" s="1587"/>
      <c r="E400" s="1587"/>
      <c r="F400" s="1007"/>
      <c r="G400" s="1580" t="s">
        <v>1162</v>
      </c>
      <c r="H400" s="1580"/>
      <c r="I400" s="1580"/>
      <c r="J400" s="1580"/>
      <c r="K400" s="1580"/>
      <c r="L400" s="1580"/>
      <c r="M400" s="1580"/>
      <c r="N400" s="1580"/>
      <c r="O400" s="1580"/>
      <c r="P400" s="1580"/>
      <c r="Q400" s="1580"/>
      <c r="R400" s="1580"/>
      <c r="S400" s="1581" t="str">
        <f>'(別紙6)定員超過 (1号)'!D39</f>
        <v>×</v>
      </c>
      <c r="T400" s="1581"/>
      <c r="U400" s="1581"/>
      <c r="V400" s="1581"/>
      <c r="W400" s="1581"/>
      <c r="X400" s="1581"/>
      <c r="Y400" s="1581"/>
      <c r="Z400" s="1581"/>
      <c r="AA400" s="1581"/>
      <c r="AB400" s="1581"/>
      <c r="AC400" s="1582"/>
      <c r="AD400" s="1589"/>
      <c r="AE400" s="1424"/>
      <c r="AF400" s="1424"/>
      <c r="AG400" s="1590"/>
      <c r="AH400" s="73"/>
      <c r="AI400" s="82"/>
      <c r="BJ400" s="73"/>
    </row>
    <row r="401" spans="1:62" customFormat="1" ht="15" customHeight="1">
      <c r="A401" s="1586"/>
      <c r="B401" s="1587"/>
      <c r="C401" s="1587"/>
      <c r="D401" s="1587"/>
      <c r="E401" s="1587"/>
      <c r="F401" s="1593" t="str">
        <f>IF(AND(AI396,I204=3),"※","")</f>
        <v/>
      </c>
      <c r="G401" s="1606" t="str">
        <f>IF(AND(AI396,I10=3),"実績報告書の提出（3月のみ）","")</f>
        <v/>
      </c>
      <c r="H401" s="1606"/>
      <c r="I401" s="1606"/>
      <c r="J401" s="1606"/>
      <c r="K401" s="1606"/>
      <c r="L401" s="1606"/>
      <c r="M401" s="1606"/>
      <c r="N401" s="1606"/>
      <c r="O401" s="1606"/>
      <c r="P401" s="1606"/>
      <c r="Q401" s="1606"/>
      <c r="R401" s="1606"/>
      <c r="S401" s="1606"/>
      <c r="T401" s="1606"/>
      <c r="U401" s="1606"/>
      <c r="V401" s="1606"/>
      <c r="W401" s="1606"/>
      <c r="X401" s="1606"/>
      <c r="Y401" s="1606"/>
      <c r="Z401" s="1606"/>
      <c r="AA401" s="1606"/>
      <c r="AB401" s="1606"/>
      <c r="AC401" s="1606"/>
      <c r="AD401" s="1607" t="str">
        <f>IF(AND(AI396,I204=3),IF(AND('(別紙6)定員超過 (1号)'!D76&gt;=1.2,'(別紙6)定員超過 (1号)'!P75&lt;&gt;0),"×","○"),"")</f>
        <v/>
      </c>
      <c r="AE401" s="1608"/>
      <c r="AF401" s="1608"/>
      <c r="AG401" s="1609"/>
      <c r="AH401" s="73"/>
      <c r="AI401" s="134" t="b">
        <f>AD401="×"</f>
        <v>0</v>
      </c>
      <c r="BB401" s="65"/>
      <c r="BC401" s="65"/>
      <c r="BD401" s="65"/>
      <c r="BE401" s="65"/>
      <c r="BF401" s="65"/>
      <c r="BG401" s="65"/>
      <c r="BH401" s="65"/>
      <c r="BI401" s="65"/>
      <c r="BJ401" s="65"/>
    </row>
    <row r="402" spans="1:62" customFormat="1" ht="15" customHeight="1">
      <c r="A402" s="1589"/>
      <c r="B402" s="1424"/>
      <c r="C402" s="1424"/>
      <c r="D402" s="1424"/>
      <c r="E402" s="1424"/>
      <c r="F402" s="1411"/>
      <c r="G402" s="943"/>
      <c r="H402" s="1580" t="str">
        <f>IF(OR(AJ389,AJ392),"エラー",IF(AND(AD401="×",'(別紙6)定員超過 (1号)'!D76&gt;=1.2,'(別紙6)定員超過 (1号)'!P75&lt;&gt;0),'(別紙6)定員超過 (1号)'!B78,IF(AND(AI381,AI396),TEXT(AI397,"YYYY年M月")&amp;"より解除","")))</f>
        <v>エラー</v>
      </c>
      <c r="I402" s="1580"/>
      <c r="J402" s="1580"/>
      <c r="K402" s="1580"/>
      <c r="L402" s="1580"/>
      <c r="M402" s="1580"/>
      <c r="N402" s="1580"/>
      <c r="O402" s="1580"/>
      <c r="P402" s="1580"/>
      <c r="Q402" s="1580"/>
      <c r="R402" s="1580"/>
      <c r="S402" s="1580"/>
      <c r="T402" s="1580"/>
      <c r="U402" s="1580"/>
      <c r="V402" s="1580"/>
      <c r="W402" s="1580"/>
      <c r="X402" s="1580"/>
      <c r="Y402" s="1580"/>
      <c r="Z402" s="1580"/>
      <c r="AA402" s="1580"/>
      <c r="AB402" s="1580"/>
      <c r="AC402" s="1656"/>
      <c r="AD402" s="1610"/>
      <c r="AE402" s="1581"/>
      <c r="AF402" s="1581"/>
      <c r="AG402" s="1582"/>
      <c r="AH402" s="73"/>
      <c r="AI402" s="82"/>
      <c r="BB402" s="65"/>
      <c r="BC402" s="65"/>
      <c r="BD402" s="65"/>
      <c r="BE402" s="65"/>
      <c r="BF402" s="65"/>
      <c r="BG402" s="65"/>
      <c r="BH402" s="65"/>
      <c r="BI402" s="65"/>
      <c r="BJ402" s="65"/>
    </row>
    <row r="403" spans="1:62" ht="15" customHeight="1">
      <c r="A403" s="1593" t="s">
        <v>51</v>
      </c>
      <c r="B403" s="1594"/>
      <c r="C403" s="1594"/>
      <c r="D403" s="1594"/>
      <c r="E403" s="1594"/>
      <c r="F403" s="1595" t="s">
        <v>1056</v>
      </c>
      <c r="G403" s="1596"/>
      <c r="H403" s="1596"/>
      <c r="I403" s="1596"/>
      <c r="J403" s="1596"/>
      <c r="K403" s="1596"/>
      <c r="L403" s="1596"/>
      <c r="M403" s="1596"/>
      <c r="N403" s="1596"/>
      <c r="O403" s="1596"/>
      <c r="P403" s="1596"/>
      <c r="Q403" s="1596"/>
      <c r="R403" s="1596"/>
      <c r="S403" s="1596"/>
      <c r="T403" s="1596"/>
      <c r="U403" s="1596"/>
      <c r="V403" s="1596"/>
      <c r="W403" s="1596"/>
      <c r="X403" s="1596"/>
      <c r="Y403" s="1596"/>
      <c r="Z403" s="1596"/>
      <c r="AA403" s="1596"/>
      <c r="AB403" s="1596"/>
      <c r="AC403" s="1596"/>
      <c r="AD403" s="1596"/>
      <c r="AE403" s="1596"/>
      <c r="AF403" s="1596"/>
      <c r="AG403" s="1546"/>
      <c r="AH403" s="73"/>
      <c r="AI403" s="82"/>
      <c r="AJ403" s="73"/>
      <c r="AK403" s="73"/>
      <c r="AL403" s="73"/>
      <c r="AM403" s="73"/>
    </row>
    <row r="404" spans="1:62" ht="15" customHeight="1">
      <c r="A404" s="1411"/>
      <c r="B404" s="1412"/>
      <c r="C404" s="1412"/>
      <c r="D404" s="1412"/>
      <c r="E404" s="1412"/>
      <c r="F404" s="1597" t="s">
        <v>1057</v>
      </c>
      <c r="G404" s="1598"/>
      <c r="H404" s="1598"/>
      <c r="I404" s="1598"/>
      <c r="J404" s="1598"/>
      <c r="K404" s="1598"/>
      <c r="L404" s="1598"/>
      <c r="M404" s="1598"/>
      <c r="N404" s="1598"/>
      <c r="O404" s="1598"/>
      <c r="P404" s="1598"/>
      <c r="Q404" s="1598"/>
      <c r="R404" s="1598"/>
      <c r="S404" s="1598"/>
      <c r="T404" s="1598"/>
      <c r="U404" s="1598"/>
      <c r="V404" s="1598"/>
      <c r="W404" s="1598"/>
      <c r="X404" s="1598"/>
      <c r="Y404" s="1598"/>
      <c r="Z404" s="1598"/>
      <c r="AA404" s="1598"/>
      <c r="AB404" s="1598"/>
      <c r="AC404" s="1598"/>
      <c r="AD404" s="1598"/>
      <c r="AE404" s="1598"/>
      <c r="AF404" s="1598"/>
      <c r="AG404" s="1599"/>
      <c r="AH404" s="73"/>
      <c r="AI404" s="82"/>
      <c r="AJ404" s="73"/>
      <c r="AK404" s="73"/>
      <c r="AL404" s="73"/>
      <c r="AM404" s="73"/>
      <c r="BB404"/>
      <c r="BC404"/>
      <c r="BD404"/>
      <c r="BE404"/>
      <c r="BF404"/>
      <c r="BG404"/>
      <c r="BH404"/>
      <c r="BI404"/>
      <c r="BJ404"/>
    </row>
    <row r="405" spans="1:62" ht="15" customHeight="1" thickBot="1">
      <c r="A405" s="926"/>
      <c r="B405" s="926"/>
      <c r="C405" s="926"/>
      <c r="D405" s="926"/>
      <c r="E405" s="926"/>
      <c r="F405" s="926"/>
      <c r="G405" s="926"/>
      <c r="H405" s="926"/>
      <c r="I405" s="926"/>
      <c r="J405" s="926"/>
      <c r="K405" s="926"/>
      <c r="L405" s="926"/>
      <c r="M405" s="926"/>
      <c r="N405" s="926"/>
      <c r="O405" s="926"/>
      <c r="P405" s="926"/>
      <c r="Q405" s="926"/>
      <c r="R405" s="926"/>
      <c r="S405" s="926"/>
      <c r="T405" s="926"/>
      <c r="U405" s="926"/>
      <c r="V405" s="926"/>
      <c r="W405" s="926"/>
      <c r="X405" s="926"/>
      <c r="Y405" s="926"/>
      <c r="Z405" s="926"/>
      <c r="AA405" s="926"/>
      <c r="AB405" s="926"/>
      <c r="AC405" s="926"/>
      <c r="AD405" s="926"/>
      <c r="AE405" s="926"/>
      <c r="AF405" s="314"/>
      <c r="AG405" s="314"/>
      <c r="AI405" s="66"/>
      <c r="BB405"/>
      <c r="BC405"/>
      <c r="BD405"/>
      <c r="BE405"/>
      <c r="BF405"/>
      <c r="BG405"/>
      <c r="BH405"/>
      <c r="BI405"/>
      <c r="BJ405"/>
    </row>
    <row r="406" spans="1:62" ht="15" customHeight="1" thickBot="1">
      <c r="A406" s="1575" t="s">
        <v>1625</v>
      </c>
      <c r="B406" s="1575"/>
      <c r="C406" s="1575"/>
      <c r="D406" s="1575"/>
      <c r="E406" s="1575"/>
      <c r="F406" s="1575"/>
      <c r="G406" s="1575"/>
      <c r="H406" s="1575"/>
      <c r="I406" s="1575"/>
      <c r="J406" s="1496" t="str">
        <f>IF(OR(AJ414,AJ417),"未入力エラー",IF(AI426,"遡及減算",IF(AND(AI421,DATE($D$10,$I$10,1)&gt;=AI422),"減算解除",IF(AI406,"○","×"))))</f>
        <v>未入力エラー</v>
      </c>
      <c r="K406" s="1497"/>
      <c r="L406" s="1497"/>
      <c r="M406" s="1497"/>
      <c r="N406" s="1498"/>
      <c r="O406" s="1538" t="s">
        <v>268</v>
      </c>
      <c r="P406" s="1539"/>
      <c r="Q406" s="1539"/>
      <c r="R406" s="314"/>
      <c r="S406" s="314"/>
      <c r="T406" s="314"/>
      <c r="U406" s="314"/>
      <c r="V406" s="314"/>
      <c r="W406" s="314"/>
      <c r="X406" s="314"/>
      <c r="Y406" s="314"/>
      <c r="Z406" s="314"/>
      <c r="AA406" s="314"/>
      <c r="AB406" s="314"/>
      <c r="AC406" s="314"/>
      <c r="AD406" s="314"/>
      <c r="AE406" s="314"/>
      <c r="AF406" s="697"/>
      <c r="AG406" s="314"/>
      <c r="AH406" s="73"/>
      <c r="AI406" s="1001" t="b">
        <f>AND(AI409,AI410)</f>
        <v>0</v>
      </c>
      <c r="BB406"/>
      <c r="BC406"/>
      <c r="BD406"/>
      <c r="BE406"/>
      <c r="BF406"/>
      <c r="BG406"/>
      <c r="BH406"/>
      <c r="BI406"/>
      <c r="BJ406"/>
    </row>
    <row r="407" spans="1:62" ht="15" customHeight="1">
      <c r="A407" s="1429" t="s">
        <v>393</v>
      </c>
      <c r="B407" s="1429"/>
      <c r="C407" s="1429"/>
      <c r="D407" s="1429"/>
      <c r="E407" s="1429"/>
      <c r="F407" s="1429"/>
      <c r="G407" s="1429"/>
      <c r="H407" s="1429"/>
      <c r="I407" s="1429"/>
      <c r="J407" s="1429"/>
      <c r="K407" s="1429"/>
      <c r="L407" s="1429"/>
      <c r="M407" s="1429"/>
      <c r="N407" s="1429"/>
      <c r="O407" s="1429"/>
      <c r="P407" s="1429"/>
      <c r="Q407" s="1429"/>
      <c r="R407" s="1429"/>
      <c r="S407" s="1429"/>
      <c r="T407" s="1429"/>
      <c r="U407" s="1429"/>
      <c r="V407" s="1429"/>
      <c r="W407" s="1429"/>
      <c r="X407" s="1429"/>
      <c r="Y407" s="1429"/>
      <c r="Z407" s="1429"/>
      <c r="AA407" s="1429"/>
      <c r="AB407" s="1429"/>
      <c r="AC407" s="1429"/>
      <c r="AD407" s="1429"/>
      <c r="AE407" s="1429"/>
      <c r="AF407" s="1429"/>
      <c r="AG407" s="1429"/>
      <c r="AH407" s="73"/>
      <c r="BB407"/>
      <c r="BC407"/>
      <c r="BD407"/>
      <c r="BE407"/>
      <c r="BF407"/>
      <c r="BG407"/>
      <c r="BH407"/>
      <c r="BI407"/>
      <c r="BJ407"/>
    </row>
    <row r="408" spans="1:62" ht="15" customHeight="1">
      <c r="A408" s="1727" t="s">
        <v>392</v>
      </c>
      <c r="B408" s="1728"/>
      <c r="C408" s="1728"/>
      <c r="D408" s="1728"/>
      <c r="E408" s="1729"/>
      <c r="F408" s="1704" t="s">
        <v>103</v>
      </c>
      <c r="G408" s="1704"/>
      <c r="H408" s="1704"/>
      <c r="I408" s="1704"/>
      <c r="J408" s="1704"/>
      <c r="K408" s="1704"/>
      <c r="L408" s="1704"/>
      <c r="M408" s="1704"/>
      <c r="N408" s="1704"/>
      <c r="O408" s="1704"/>
      <c r="P408" s="1704"/>
      <c r="Q408" s="1704"/>
      <c r="R408" s="1704"/>
      <c r="S408" s="1704"/>
      <c r="T408" s="1704"/>
      <c r="U408" s="1704"/>
      <c r="V408" s="1704"/>
      <c r="W408" s="1704"/>
      <c r="X408" s="1704"/>
      <c r="Y408" s="1704"/>
      <c r="Z408" s="1704"/>
      <c r="AA408" s="1704"/>
      <c r="AB408" s="1704"/>
      <c r="AC408" s="1663"/>
      <c r="AD408" s="1466" t="s">
        <v>269</v>
      </c>
      <c r="AE408" s="1466"/>
      <c r="AF408" s="1466"/>
      <c r="AG408" s="1466"/>
      <c r="AI408" s="66"/>
      <c r="BB408"/>
      <c r="BC408"/>
      <c r="BD408"/>
      <c r="BE408"/>
      <c r="BF408"/>
      <c r="BG408"/>
      <c r="BH408"/>
      <c r="BI408"/>
      <c r="BJ408"/>
    </row>
    <row r="409" spans="1:62" ht="15" customHeight="1">
      <c r="A409" s="1728"/>
      <c r="B409" s="1728"/>
      <c r="C409" s="1728"/>
      <c r="D409" s="1728"/>
      <c r="E409" s="1728"/>
      <c r="F409" s="925">
        <v>1</v>
      </c>
      <c r="G409" s="1711" t="s">
        <v>557</v>
      </c>
      <c r="H409" s="1711"/>
      <c r="I409" s="1711"/>
      <c r="J409" s="1711"/>
      <c r="K409" s="1711"/>
      <c r="L409" s="1711"/>
      <c r="M409" s="1711"/>
      <c r="N409" s="1711"/>
      <c r="O409" s="1711"/>
      <c r="P409" s="1711"/>
      <c r="Q409" s="1711"/>
      <c r="R409" s="1711"/>
      <c r="S409" s="1711"/>
      <c r="T409" s="1711"/>
      <c r="U409" s="1711"/>
      <c r="V409" s="1711"/>
      <c r="W409" s="1711"/>
      <c r="X409" s="1711"/>
      <c r="Y409" s="1711"/>
      <c r="Z409" s="1711"/>
      <c r="AA409" s="1711"/>
      <c r="AB409" s="1711"/>
      <c r="AC409" s="1712"/>
      <c r="AD409" s="1713" t="str">
        <f>IF(AJ415*AJ418=1,"○","×")</f>
        <v>×</v>
      </c>
      <c r="AE409" s="1714"/>
      <c r="AF409" s="1714"/>
      <c r="AG409" s="1528"/>
      <c r="AI409" s="134" t="b">
        <f>AD409="○"</f>
        <v>0</v>
      </c>
      <c r="BB409"/>
      <c r="BC409"/>
      <c r="BD409"/>
      <c r="BE409"/>
      <c r="BF409"/>
      <c r="BG409"/>
      <c r="BH409"/>
      <c r="BI409"/>
      <c r="BJ409"/>
    </row>
    <row r="410" spans="1:62" s="73" customFormat="1" ht="15" customHeight="1">
      <c r="A410" s="1728"/>
      <c r="B410" s="1728"/>
      <c r="C410" s="1728"/>
      <c r="D410" s="1728"/>
      <c r="E410" s="1728"/>
      <c r="F410" s="925">
        <v>2</v>
      </c>
      <c r="G410" s="1711" t="s">
        <v>624</v>
      </c>
      <c r="H410" s="1711"/>
      <c r="I410" s="1711"/>
      <c r="J410" s="1711"/>
      <c r="K410" s="1711"/>
      <c r="L410" s="1711"/>
      <c r="M410" s="1711"/>
      <c r="N410" s="1711"/>
      <c r="O410" s="1711"/>
      <c r="P410" s="1711"/>
      <c r="Q410" s="1711"/>
      <c r="R410" s="1711"/>
      <c r="S410" s="1711"/>
      <c r="T410" s="1711"/>
      <c r="U410" s="1711"/>
      <c r="V410" s="1711"/>
      <c r="W410" s="1711"/>
      <c r="X410" s="1711"/>
      <c r="Y410" s="1711"/>
      <c r="Z410" s="1711"/>
      <c r="AA410" s="1711"/>
      <c r="AB410" s="1711"/>
      <c r="AC410" s="1712"/>
      <c r="AD410" s="1713" t="str">
        <f>IF(AI414*AI417=1,"○","×")</f>
        <v>×</v>
      </c>
      <c r="AE410" s="1714"/>
      <c r="AF410" s="1714"/>
      <c r="AG410" s="1528"/>
      <c r="AH410" s="65"/>
      <c r="AI410" s="134" t="b">
        <f>AD410="○"</f>
        <v>0</v>
      </c>
      <c r="AJ410" s="65"/>
      <c r="AK410" s="65"/>
      <c r="AL410" s="65"/>
      <c r="AM410" s="65"/>
      <c r="BB410" s="65"/>
      <c r="BC410" s="65"/>
      <c r="BD410" s="65"/>
      <c r="BE410" s="65"/>
      <c r="BF410" s="65"/>
      <c r="BG410" s="65"/>
      <c r="BH410" s="65"/>
      <c r="BI410" s="65"/>
      <c r="BJ410" s="65"/>
    </row>
    <row r="411" spans="1:62" ht="15" customHeight="1">
      <c r="A411" s="1715" t="s">
        <v>403</v>
      </c>
      <c r="B411" s="1715"/>
      <c r="C411" s="1715"/>
      <c r="D411" s="1715"/>
      <c r="E411" s="1715"/>
      <c r="F411" s="1715"/>
      <c r="G411" s="1715"/>
      <c r="H411" s="1715"/>
      <c r="I411" s="1715"/>
      <c r="J411" s="1715"/>
      <c r="K411" s="1715"/>
      <c r="L411" s="1715"/>
      <c r="M411" s="1715"/>
      <c r="N411" s="1715"/>
      <c r="O411" s="1715"/>
      <c r="P411" s="1715"/>
      <c r="Q411" s="1715"/>
      <c r="R411" s="1715"/>
      <c r="S411" s="1715"/>
      <c r="T411" s="1715"/>
      <c r="U411" s="1715"/>
      <c r="V411" s="1715"/>
      <c r="W411" s="1715"/>
      <c r="X411" s="1715"/>
      <c r="Y411" s="1715"/>
      <c r="Z411" s="1715"/>
      <c r="AA411" s="1715"/>
      <c r="AB411" s="1715"/>
      <c r="AC411" s="1715"/>
      <c r="AD411" s="1715"/>
      <c r="AE411" s="1715"/>
      <c r="AF411" s="1715"/>
      <c r="AG411" s="1715"/>
      <c r="AH411" s="73"/>
    </row>
    <row r="412" spans="1:62" s="73" customFormat="1" ht="15" customHeight="1">
      <c r="A412" s="1731" t="s">
        <v>307</v>
      </c>
      <c r="B412" s="1732"/>
      <c r="C412" s="1732"/>
      <c r="D412" s="1732"/>
      <c r="E412" s="1733"/>
      <c r="F412" s="1716" t="str">
        <f>IF(F387=0,"",F387)</f>
        <v/>
      </c>
      <c r="G412" s="1717"/>
      <c r="H412" s="1717"/>
      <c r="I412" s="1717"/>
      <c r="J412" s="1664" t="s">
        <v>11</v>
      </c>
      <c r="K412" s="1664"/>
      <c r="L412" s="1701" t="str">
        <f>IF(L387=0,"",L387)</f>
        <v/>
      </c>
      <c r="M412" s="1701"/>
      <c r="N412" s="1664" t="s">
        <v>308</v>
      </c>
      <c r="O412" s="1629"/>
      <c r="P412" s="698" t="s">
        <v>309</v>
      </c>
      <c r="Q412" s="921"/>
      <c r="R412" s="921"/>
      <c r="S412" s="921"/>
      <c r="T412" s="921"/>
      <c r="U412" s="921"/>
      <c r="V412" s="921"/>
      <c r="W412" s="921"/>
      <c r="X412" s="921"/>
      <c r="Y412" s="921"/>
      <c r="Z412" s="921"/>
      <c r="AA412" s="921"/>
      <c r="AB412" s="921"/>
      <c r="AC412" s="921"/>
      <c r="AD412" s="921"/>
      <c r="AE412" s="921"/>
      <c r="AF412" s="921"/>
      <c r="AG412" s="921"/>
      <c r="AH412" s="65"/>
      <c r="AI412" s="68">
        <f>IF(OR(F412=0,L412=0,ISERROR(DATE(F412,L412,1))),DATE(A413,4,1),DATE(F412,L412,1))</f>
        <v>45017</v>
      </c>
      <c r="AJ412" s="65"/>
      <c r="AK412" s="65"/>
      <c r="AL412" s="65"/>
      <c r="AM412" s="65"/>
      <c r="BB412" s="65"/>
      <c r="BC412" s="65"/>
      <c r="BD412" s="65"/>
      <c r="BE412" s="65"/>
      <c r="BF412" s="65"/>
      <c r="BG412" s="65"/>
      <c r="BH412" s="65"/>
      <c r="BI412" s="65"/>
      <c r="BJ412" s="65"/>
    </row>
    <row r="413" spans="1:62" ht="15" customHeight="1" thickBot="1">
      <c r="A413" s="1433">
        <f>AK2-2</f>
        <v>2023</v>
      </c>
      <c r="B413" s="1434"/>
      <c r="C413" s="1434"/>
      <c r="D413" s="1434"/>
      <c r="E413" s="1435"/>
      <c r="F413" s="1432">
        <f>DATE($A413,AL$413,1)</f>
        <v>45017</v>
      </c>
      <c r="G413" s="1431"/>
      <c r="H413" s="1430">
        <f>DATE($A413,AN$413,1)</f>
        <v>45047</v>
      </c>
      <c r="I413" s="1431"/>
      <c r="J413" s="1430">
        <f>DATE($A413,AP$413,1)</f>
        <v>45078</v>
      </c>
      <c r="K413" s="1431"/>
      <c r="L413" s="1430">
        <f>DATE($A413,AR$413,1)</f>
        <v>45108</v>
      </c>
      <c r="M413" s="1431"/>
      <c r="N413" s="1430">
        <f>DATE($A413,AT$413,1)</f>
        <v>45139</v>
      </c>
      <c r="O413" s="1431"/>
      <c r="P413" s="1430">
        <f>DATE($A413,AV$413,1)</f>
        <v>45170</v>
      </c>
      <c r="Q413" s="1431"/>
      <c r="R413" s="1430">
        <f>DATE($A413,AX$413,1)</f>
        <v>45200</v>
      </c>
      <c r="S413" s="1431"/>
      <c r="T413" s="1430">
        <f>DATE($A413,AZ$413,1)</f>
        <v>45231</v>
      </c>
      <c r="U413" s="1431"/>
      <c r="V413" s="1430">
        <f t="shared" ref="V413" si="54">DATE($A413,BB$413,1)</f>
        <v>45261</v>
      </c>
      <c r="W413" s="1431"/>
      <c r="X413" s="1430">
        <f>DATE($A413+1,BD$413,1)</f>
        <v>45292</v>
      </c>
      <c r="Y413" s="1431"/>
      <c r="Z413" s="1430">
        <f>DATE($A413+1,BF$413,1)</f>
        <v>45323</v>
      </c>
      <c r="AA413" s="1431"/>
      <c r="AB413" s="1430">
        <f>DATE($A413+1,BH$413,1)</f>
        <v>45352</v>
      </c>
      <c r="AC413" s="1726"/>
      <c r="AD413" s="1674" t="s">
        <v>1</v>
      </c>
      <c r="AE413" s="1675"/>
      <c r="AF413" s="1674" t="s">
        <v>65</v>
      </c>
      <c r="AG413" s="1675"/>
      <c r="AI413" s="66"/>
      <c r="AL413" s="1565">
        <v>4</v>
      </c>
      <c r="AM413" s="1566"/>
      <c r="AN413" s="1565">
        <v>5</v>
      </c>
      <c r="AO413" s="1566"/>
      <c r="AP413" s="1565">
        <v>6</v>
      </c>
      <c r="AQ413" s="1566"/>
      <c r="AR413" s="1565">
        <v>7</v>
      </c>
      <c r="AS413" s="1566"/>
      <c r="AT413" s="1565">
        <v>8</v>
      </c>
      <c r="AU413" s="1566"/>
      <c r="AV413" s="1565">
        <v>9</v>
      </c>
      <c r="AW413" s="1566"/>
      <c r="AX413" s="1565">
        <v>10</v>
      </c>
      <c r="AY413" s="1566"/>
      <c r="AZ413" s="1565">
        <v>11</v>
      </c>
      <c r="BA413" s="1566"/>
      <c r="BB413" s="1565">
        <v>12</v>
      </c>
      <c r="BC413" s="1566"/>
      <c r="BD413" s="1565">
        <v>1</v>
      </c>
      <c r="BE413" s="1566"/>
      <c r="BF413" s="1565">
        <v>2</v>
      </c>
      <c r="BG413" s="1566"/>
      <c r="BH413" s="1565">
        <v>3</v>
      </c>
      <c r="BI413" s="1566"/>
    </row>
    <row r="414" spans="1:62" ht="15" customHeight="1">
      <c r="A414" s="1676" t="s">
        <v>66</v>
      </c>
      <c r="B414" s="1522"/>
      <c r="C414" s="1522"/>
      <c r="D414" s="1522"/>
      <c r="E414" s="1677"/>
      <c r="F414" s="1678"/>
      <c r="G414" s="1673"/>
      <c r="H414" s="1672"/>
      <c r="I414" s="1673"/>
      <c r="J414" s="1672"/>
      <c r="K414" s="1673"/>
      <c r="L414" s="1672"/>
      <c r="M414" s="1673"/>
      <c r="N414" s="1672"/>
      <c r="O414" s="1673"/>
      <c r="P414" s="1672"/>
      <c r="Q414" s="1673"/>
      <c r="R414" s="1672"/>
      <c r="S414" s="1673"/>
      <c r="T414" s="1672"/>
      <c r="U414" s="1673"/>
      <c r="V414" s="1672"/>
      <c r="W414" s="1673"/>
      <c r="X414" s="1672"/>
      <c r="Y414" s="1673"/>
      <c r="Z414" s="1672"/>
      <c r="AA414" s="1673"/>
      <c r="AB414" s="1672"/>
      <c r="AC414" s="1706"/>
      <c r="AD414" s="1724">
        <f>SUM(AL414:BI414)</f>
        <v>0</v>
      </c>
      <c r="AE414" s="1725"/>
      <c r="AF414" s="1707">
        <f>IFERROR(ROUNDDOWN(AD414/AD415,2),0)</f>
        <v>0</v>
      </c>
      <c r="AG414" s="1708"/>
      <c r="AI414" s="1722" t="b">
        <f>AF414&gt;=120%</f>
        <v>0</v>
      </c>
      <c r="AJ414" s="554" t="b">
        <f>COUNTIF(AL414:BI414,"×")&gt;0</f>
        <v>1</v>
      </c>
      <c r="AK414" s="107" t="s">
        <v>577</v>
      </c>
      <c r="AL414" s="1561" t="str">
        <f>IF(F413&gt;=$AI$412,IF(F414="","×",F414),"△")</f>
        <v>×</v>
      </c>
      <c r="AM414" s="1562"/>
      <c r="AN414" s="1561" t="str">
        <f t="shared" ref="AN414" si="55">IF(H413&gt;=$AI$412,IF(H414="","×",H414),"△")</f>
        <v>×</v>
      </c>
      <c r="AO414" s="1562"/>
      <c r="AP414" s="1561" t="str">
        <f t="shared" ref="AP414" si="56">IF(J413&gt;=$AI$412,IF(J414="","×",J414),"△")</f>
        <v>×</v>
      </c>
      <c r="AQ414" s="1562"/>
      <c r="AR414" s="1561" t="str">
        <f t="shared" ref="AR414" si="57">IF(L413&gt;=$AI$412,IF(L414="","×",L414),"△")</f>
        <v>×</v>
      </c>
      <c r="AS414" s="1562"/>
      <c r="AT414" s="1561" t="str">
        <f t="shared" ref="AT414" si="58">IF(N413&gt;=$AI$412,IF(N414="","×",N414),"△")</f>
        <v>×</v>
      </c>
      <c r="AU414" s="1562"/>
      <c r="AV414" s="1561" t="str">
        <f t="shared" ref="AV414" si="59">IF(P413&gt;=$AI$412,IF(P414="","×",P414),"△")</f>
        <v>×</v>
      </c>
      <c r="AW414" s="1562"/>
      <c r="AX414" s="1561" t="str">
        <f t="shared" ref="AX414" si="60">IF(R413&gt;=$AI$412,IF(R414="","×",R414),"△")</f>
        <v>×</v>
      </c>
      <c r="AY414" s="1562"/>
      <c r="AZ414" s="1561" t="str">
        <f>IF(T413&gt;=$AI$412,IF(T414="","×",T414),"△")</f>
        <v>×</v>
      </c>
      <c r="BA414" s="1562"/>
      <c r="BB414" s="1561" t="str">
        <f t="shared" ref="BB414" si="61">IF(V413&gt;=$AI$412,IF(V414="","×",V414),"△")</f>
        <v>×</v>
      </c>
      <c r="BC414" s="1562"/>
      <c r="BD414" s="1561" t="str">
        <f t="shared" ref="BD414" si="62">IF(X413&gt;=$AI$412,IF(X414="","×",X414),"△")</f>
        <v>×</v>
      </c>
      <c r="BE414" s="1562"/>
      <c r="BF414" s="1561" t="str">
        <f t="shared" ref="BF414" si="63">IF(Z413&gt;=$AI$412,IF(Z414="","×",Z414),"△")</f>
        <v>×</v>
      </c>
      <c r="BG414" s="1562"/>
      <c r="BH414" s="1561" t="str">
        <f t="shared" ref="BH414" si="64">IF(AB413&gt;=$AI$412,IF(AB414="","×",AB414),"△")</f>
        <v>×</v>
      </c>
      <c r="BI414" s="1562"/>
    </row>
    <row r="415" spans="1:62" s="73" customFormat="1" ht="15" customHeight="1" thickBot="1">
      <c r="A415" s="1702" t="s">
        <v>67</v>
      </c>
      <c r="B415" s="1491"/>
      <c r="C415" s="1491"/>
      <c r="D415" s="1491"/>
      <c r="E415" s="1703"/>
      <c r="F415" s="1700">
        <f>IF(F413&gt;=$AI$412,SUM($M$14:$N$15,$R$14:$S$15),"")</f>
        <v>0</v>
      </c>
      <c r="G415" s="1699"/>
      <c r="H415" s="1698">
        <f>IF(H413=$AI$412,SUM($M$14:$N$15,$R$14:$S$15),F415)</f>
        <v>0</v>
      </c>
      <c r="I415" s="1699"/>
      <c r="J415" s="1698">
        <f>IF(J413=$AI$412,SUM($M$14:$N$15,$R$14:$S$15),H415)</f>
        <v>0</v>
      </c>
      <c r="K415" s="1699"/>
      <c r="L415" s="1698">
        <f>IF(L413=$AI$412,SUM($M$14:$N$15,$R$14:$S$15),J415)</f>
        <v>0</v>
      </c>
      <c r="M415" s="1699"/>
      <c r="N415" s="1698">
        <f>IF(N413=$AI$412,SUM($M$14:$N$15,$R$14:$S$15),L415)</f>
        <v>0</v>
      </c>
      <c r="O415" s="1699"/>
      <c r="P415" s="1698">
        <f>IF(P413=$AI$412,SUM($M$14:$N$15,$R$14:$S$15),N415)</f>
        <v>0</v>
      </c>
      <c r="Q415" s="1699"/>
      <c r="R415" s="1698">
        <f>IF(R413=$AI$412,SUM($M$14:$N$15,$R$14:$S$15),P415)</f>
        <v>0</v>
      </c>
      <c r="S415" s="1699"/>
      <c r="T415" s="1698">
        <f>IF(T413=$AI$412,SUM($M$14:$N$15,$R$14:$S$15),R415)</f>
        <v>0</v>
      </c>
      <c r="U415" s="1699"/>
      <c r="V415" s="1698">
        <f>IF(V413=$AI$412,SUM($M$14:$N$15,$R$14:$S$15),T415)</f>
        <v>0</v>
      </c>
      <c r="W415" s="1699"/>
      <c r="X415" s="1698">
        <f>IF(X413=$AI$412,SUM($M$14:$N$15,$R$14:$S$15),V415)</f>
        <v>0</v>
      </c>
      <c r="Y415" s="1699"/>
      <c r="Z415" s="1698">
        <f>IF(Z413=$AI$412,SUM($M$14:$N$15,$R$14:$S$15),X415)</f>
        <v>0</v>
      </c>
      <c r="AA415" s="1699"/>
      <c r="AB415" s="1698">
        <f>IF(AB413=$AI$412,SUM($M$14:$N$15,$R$14:$S$15),Z415)</f>
        <v>0</v>
      </c>
      <c r="AC415" s="1719"/>
      <c r="AD415" s="1720">
        <f>SUM(F415:AC415)</f>
        <v>0</v>
      </c>
      <c r="AE415" s="1721"/>
      <c r="AF415" s="1709"/>
      <c r="AG415" s="1710"/>
      <c r="AH415" s="65"/>
      <c r="AI415" s="1723"/>
      <c r="AJ415" s="1002" t="b">
        <f>AND(COUNTIF(AL415:BI415,1)&gt;=1,COUNTIF(AL415:BI415,2)=0)</f>
        <v>0</v>
      </c>
      <c r="AK415" s="108" t="s">
        <v>578</v>
      </c>
      <c r="AL415" s="1558">
        <f>IF(OR(AL414="×",AL414="△"),0,IF(F414&gt;F415,1,2))</f>
        <v>0</v>
      </c>
      <c r="AM415" s="1559"/>
      <c r="AN415" s="1558">
        <f t="shared" ref="AN415" si="65">IF(OR(AN414="×",AN414="△"),0,IF(H414&gt;H415,1,2))</f>
        <v>0</v>
      </c>
      <c r="AO415" s="1559"/>
      <c r="AP415" s="1558">
        <f t="shared" ref="AP415" si="66">IF(OR(AP414="×",AP414="△"),0,IF(J414&gt;J415,1,2))</f>
        <v>0</v>
      </c>
      <c r="AQ415" s="1559"/>
      <c r="AR415" s="1558">
        <f t="shared" ref="AR415" si="67">IF(OR(AR414="×",AR414="△"),0,IF(L414&gt;L415,1,2))</f>
        <v>0</v>
      </c>
      <c r="AS415" s="1559"/>
      <c r="AT415" s="1558">
        <f t="shared" ref="AT415" si="68">IF(OR(AT414="×",AT414="△"),0,IF(N414&gt;N415,1,2))</f>
        <v>0</v>
      </c>
      <c r="AU415" s="1559"/>
      <c r="AV415" s="1558">
        <f>IF(OR(AV414="×",AV414="△"),0,IF(P414&gt;P415,1,2))</f>
        <v>0</v>
      </c>
      <c r="AW415" s="1559"/>
      <c r="AX415" s="1558">
        <f>IF(OR(AX414="×",AX414="△"),0,IF(R414&gt;R415,1,2))</f>
        <v>0</v>
      </c>
      <c r="AY415" s="1559"/>
      <c r="AZ415" s="1558">
        <f>IF(OR(AZ414="×",AZ414="△"),0,IF(T414&gt;T415,1,2))</f>
        <v>0</v>
      </c>
      <c r="BA415" s="1559"/>
      <c r="BB415" s="1558">
        <f>IF(OR(BB414="×",BB414="△"),0,IF(V414&gt;V415,1,2))</f>
        <v>0</v>
      </c>
      <c r="BC415" s="1559"/>
      <c r="BD415" s="1558">
        <f>IF(OR(BD414="×",BD414="△"),0,IF(X414&gt;X415,1,2))</f>
        <v>0</v>
      </c>
      <c r="BE415" s="1559"/>
      <c r="BF415" s="1558">
        <f>IF(OR(BF414="×",BF414="△"),0,IF(Z414&gt;Z415,1,2))</f>
        <v>0</v>
      </c>
      <c r="BG415" s="1559"/>
      <c r="BH415" s="1558">
        <f>IF(OR(BH414="×",BH414="△"),0,IF(AB414&gt;AB415,1,2))</f>
        <v>0</v>
      </c>
      <c r="BI415" s="1560"/>
      <c r="BJ415" s="65"/>
    </row>
    <row r="416" spans="1:62" ht="15" customHeight="1" thickBot="1">
      <c r="A416" s="1433">
        <f>AK2-1</f>
        <v>2024</v>
      </c>
      <c r="B416" s="1434"/>
      <c r="C416" s="1434"/>
      <c r="D416" s="1434"/>
      <c r="E416" s="1435"/>
      <c r="F416" s="1432">
        <f>DATE($A416,AL$413,1)</f>
        <v>45383</v>
      </c>
      <c r="G416" s="1431"/>
      <c r="H416" s="1430">
        <f>DATE($A416,AN$413,1)</f>
        <v>45413</v>
      </c>
      <c r="I416" s="1431"/>
      <c r="J416" s="1430">
        <f>DATE($A416,AP$413,1)</f>
        <v>45444</v>
      </c>
      <c r="K416" s="1431"/>
      <c r="L416" s="1430">
        <f>DATE($A416,AR$413,1)</f>
        <v>45474</v>
      </c>
      <c r="M416" s="1431"/>
      <c r="N416" s="1430">
        <f>DATE($A416,AT$413,1)</f>
        <v>45505</v>
      </c>
      <c r="O416" s="1431"/>
      <c r="P416" s="1430">
        <f>DATE($A416,AV$413,1)</f>
        <v>45536</v>
      </c>
      <c r="Q416" s="1431"/>
      <c r="R416" s="1430">
        <f>DATE($A416,AX$413,1)</f>
        <v>45566</v>
      </c>
      <c r="S416" s="1431"/>
      <c r="T416" s="1430">
        <f>DATE($A416,AZ$413,1)</f>
        <v>45597</v>
      </c>
      <c r="U416" s="1431"/>
      <c r="V416" s="1430">
        <f t="shared" ref="V416" si="69">DATE($A416,BB$413,1)</f>
        <v>45627</v>
      </c>
      <c r="W416" s="1431"/>
      <c r="X416" s="1430">
        <f>DATE($A416+1,BD$413,1)</f>
        <v>45658</v>
      </c>
      <c r="Y416" s="1431"/>
      <c r="Z416" s="1430">
        <f>DATE($A416+1,BF$413,1)</f>
        <v>45689</v>
      </c>
      <c r="AA416" s="1431"/>
      <c r="AB416" s="1430">
        <f>DATE($A416+1,BH$413,1)</f>
        <v>45717</v>
      </c>
      <c r="AC416" s="1726"/>
      <c r="AD416" s="1674" t="s">
        <v>1</v>
      </c>
      <c r="AE416" s="1675"/>
      <c r="AF416" s="1674" t="s">
        <v>65</v>
      </c>
      <c r="AG416" s="1675"/>
      <c r="AI416" s="66"/>
    </row>
    <row r="417" spans="1:62" ht="15" customHeight="1">
      <c r="A417" s="1676" t="s">
        <v>66</v>
      </c>
      <c r="B417" s="1522"/>
      <c r="C417" s="1522"/>
      <c r="D417" s="1522"/>
      <c r="E417" s="1677"/>
      <c r="F417" s="1678"/>
      <c r="G417" s="1673"/>
      <c r="H417" s="1672"/>
      <c r="I417" s="1673"/>
      <c r="J417" s="1672"/>
      <c r="K417" s="1673"/>
      <c r="L417" s="1672"/>
      <c r="M417" s="1673"/>
      <c r="N417" s="1672"/>
      <c r="O417" s="1673"/>
      <c r="P417" s="1672"/>
      <c r="Q417" s="1673"/>
      <c r="R417" s="1672"/>
      <c r="S417" s="1673"/>
      <c r="T417" s="1672"/>
      <c r="U417" s="1673"/>
      <c r="V417" s="1672"/>
      <c r="W417" s="1673"/>
      <c r="X417" s="1672"/>
      <c r="Y417" s="1673"/>
      <c r="Z417" s="1672"/>
      <c r="AA417" s="1673"/>
      <c r="AB417" s="1672"/>
      <c r="AC417" s="1706"/>
      <c r="AD417" s="1724">
        <f>SUM(AL417:BI417)</f>
        <v>0</v>
      </c>
      <c r="AE417" s="1725"/>
      <c r="AF417" s="1707">
        <f>IFERROR(ROUNDDOWN(AD417/AD418,2),0)</f>
        <v>0</v>
      </c>
      <c r="AG417" s="1708"/>
      <c r="AI417" s="1722" t="b">
        <f>AF417&gt;=120%</f>
        <v>0</v>
      </c>
      <c r="AJ417" s="554" t="b">
        <f>COUNTIF(AL417:BI417,"×")&gt;0</f>
        <v>1</v>
      </c>
      <c r="AK417" s="107" t="s">
        <v>577</v>
      </c>
      <c r="AL417" s="1561" t="str">
        <f>IF(F416&gt;=$AI$412,IF(F417="","×",F417),"△")</f>
        <v>×</v>
      </c>
      <c r="AM417" s="1562"/>
      <c r="AN417" s="1561" t="str">
        <f t="shared" ref="AN417" si="70">IF(H416&gt;=$AI$412,IF(H417="","×",H417),"△")</f>
        <v>×</v>
      </c>
      <c r="AO417" s="1562"/>
      <c r="AP417" s="1561" t="str">
        <f t="shared" ref="AP417" si="71">IF(J416&gt;=$AI$412,IF(J417="","×",J417),"△")</f>
        <v>×</v>
      </c>
      <c r="AQ417" s="1562"/>
      <c r="AR417" s="1561" t="str">
        <f t="shared" ref="AR417" si="72">IF(L416&gt;=$AI$412,IF(L417="","×",L417),"△")</f>
        <v>×</v>
      </c>
      <c r="AS417" s="1562"/>
      <c r="AT417" s="1561" t="str">
        <f t="shared" ref="AT417" si="73">IF(N416&gt;=$AI$412,IF(N417="","×",N417),"△")</f>
        <v>×</v>
      </c>
      <c r="AU417" s="1562"/>
      <c r="AV417" s="1561" t="str">
        <f t="shared" ref="AV417" si="74">IF(P416&gt;=$AI$412,IF(P417="","×",P417),"△")</f>
        <v>×</v>
      </c>
      <c r="AW417" s="1562"/>
      <c r="AX417" s="1561" t="str">
        <f t="shared" ref="AX417" si="75">IF(R416&gt;=$AI$412,IF(R417="","×",R417),"△")</f>
        <v>×</v>
      </c>
      <c r="AY417" s="1562"/>
      <c r="AZ417" s="1561" t="str">
        <f t="shared" ref="AZ417" si="76">IF(T416&gt;=$AI$412,IF(T417="","×",T417),"△")</f>
        <v>×</v>
      </c>
      <c r="BA417" s="1562"/>
      <c r="BB417" s="1561" t="str">
        <f t="shared" ref="BB417" si="77">IF(V416&gt;=$AI$412,IF(V417="","×",V417),"△")</f>
        <v>×</v>
      </c>
      <c r="BC417" s="1562"/>
      <c r="BD417" s="1561" t="str">
        <f t="shared" ref="BD417" si="78">IF(X416&gt;=$AI$412,IF(X417="","×",X417),"△")</f>
        <v>×</v>
      </c>
      <c r="BE417" s="1562"/>
      <c r="BF417" s="1561" t="str">
        <f t="shared" ref="BF417" si="79">IF(Z416&gt;=$AI$412,IF(Z417="","×",Z417),"△")</f>
        <v>×</v>
      </c>
      <c r="BG417" s="1562"/>
      <c r="BH417" s="1561" t="str">
        <f t="shared" ref="BH417" si="80">IF(AB416&gt;=$AI$412,IF(AB417="","×",AB417),"△")</f>
        <v>×</v>
      </c>
      <c r="BI417" s="1562"/>
      <c r="BJ417" s="73"/>
    </row>
    <row r="418" spans="1:62" s="73" customFormat="1" ht="15" customHeight="1" thickBot="1">
      <c r="A418" s="1702" t="s">
        <v>67</v>
      </c>
      <c r="B418" s="1491"/>
      <c r="C418" s="1491"/>
      <c r="D418" s="1491"/>
      <c r="E418" s="1703"/>
      <c r="F418" s="1700">
        <f>IF(F416=$AI$412,SUM($M$14:$N$15,$R$14:$S$15),AB415)</f>
        <v>0</v>
      </c>
      <c r="G418" s="1699"/>
      <c r="H418" s="1698">
        <f>IF(H416=$AI$412,SUM($M$14:$N$15,$R$14:$S$15),F418)</f>
        <v>0</v>
      </c>
      <c r="I418" s="1699"/>
      <c r="J418" s="1698">
        <f>IF(J416=$AI$412,SUM($M$14:$N$15,$R$14:$S$15),H418)</f>
        <v>0</v>
      </c>
      <c r="K418" s="1699"/>
      <c r="L418" s="1698">
        <f>IF(L416=$AI$412,SUM($M$14:$N$15,$R$14:$S$15),J418)</f>
        <v>0</v>
      </c>
      <c r="M418" s="1699"/>
      <c r="N418" s="1698">
        <f>IF(N416=$AI$412,SUM($M$14:$N$15,$R$14:$S$15),L418)</f>
        <v>0</v>
      </c>
      <c r="O418" s="1699"/>
      <c r="P418" s="1698">
        <f>IF(P416=$AI$412,SUM($M$14:$N$15,$R$14:$S$15),N418)</f>
        <v>0</v>
      </c>
      <c r="Q418" s="1699"/>
      <c r="R418" s="1698">
        <f>IF(R416=$AI$412,SUM($M$14:$N$15,$R$14:$S$15),P418)</f>
        <v>0</v>
      </c>
      <c r="S418" s="1699"/>
      <c r="T418" s="1698">
        <f>IF(T416=$AI$412,SUM($M$14:$N$15,$R$14:$S$15),R418)</f>
        <v>0</v>
      </c>
      <c r="U418" s="1699"/>
      <c r="V418" s="1698">
        <f>IF(V416=$AI$412,SUM($M$14:$N$15,$R$14:$S$15),T418)</f>
        <v>0</v>
      </c>
      <c r="W418" s="1699"/>
      <c r="X418" s="1698">
        <f>IF(X416=$AI$412,SUM($M$14:$N$15,$R$14:$S$15),V418)</f>
        <v>0</v>
      </c>
      <c r="Y418" s="1699"/>
      <c r="Z418" s="1698">
        <f>IF(Z416=$AI$412,SUM($M$14:$N$15,$R$14:$S$15),X418)</f>
        <v>0</v>
      </c>
      <c r="AA418" s="1699"/>
      <c r="AB418" s="1698">
        <f>IF(AB416=$AI$412,SUM($M$14:$N$15,$R$14:$S$15),Z418)</f>
        <v>0</v>
      </c>
      <c r="AC418" s="1719"/>
      <c r="AD418" s="1720">
        <f>SUM(F418:AC418)</f>
        <v>0</v>
      </c>
      <c r="AE418" s="1721"/>
      <c r="AF418" s="1709"/>
      <c r="AG418" s="1710"/>
      <c r="AH418" s="65"/>
      <c r="AI418" s="1723"/>
      <c r="AJ418" s="1002" t="b">
        <f>AND(COUNTIF(AL418:BI418,1)&gt;=1,COUNTIF(AL418:BI418,2)=0)</f>
        <v>0</v>
      </c>
      <c r="AK418" s="108" t="s">
        <v>578</v>
      </c>
      <c r="AL418" s="1558">
        <f>IF(OR(AL417="×",AL417="△"),0,IF(F417&gt;F418,1,2))</f>
        <v>0</v>
      </c>
      <c r="AM418" s="1559"/>
      <c r="AN418" s="1558">
        <f t="shared" ref="AN418" si="81">IF(OR(AN417="×",AN417="△"),0,IF(H417&gt;H418,1,2))</f>
        <v>0</v>
      </c>
      <c r="AO418" s="1559"/>
      <c r="AP418" s="1558">
        <f t="shared" ref="AP418" si="82">IF(OR(AP417="×",AP417="△"),0,IF(J417&gt;J418,1,2))</f>
        <v>0</v>
      </c>
      <c r="AQ418" s="1559"/>
      <c r="AR418" s="1558">
        <f t="shared" ref="AR418" si="83">IF(OR(AR417="×",AR417="△"),0,IF(L417&gt;L418,1,2))</f>
        <v>0</v>
      </c>
      <c r="AS418" s="1559"/>
      <c r="AT418" s="1558">
        <f t="shared" ref="AT418" si="84">IF(OR(AT417="×",AT417="△"),0,IF(N417&gt;N418,1,2))</f>
        <v>0</v>
      </c>
      <c r="AU418" s="1559"/>
      <c r="AV418" s="1558">
        <f>IF(OR(AV417="×",AV417="△"),0,IF(P417&gt;P418,1,2))</f>
        <v>0</v>
      </c>
      <c r="AW418" s="1559"/>
      <c r="AX418" s="1558">
        <f>IF(OR(AX417="×",AX417="△"),0,IF(R417&gt;R418,1,2))</f>
        <v>0</v>
      </c>
      <c r="AY418" s="1559"/>
      <c r="AZ418" s="1558">
        <f>IF(OR(AZ417="×",AZ417="△"),0,IF(T417&gt;T418,1,2))</f>
        <v>0</v>
      </c>
      <c r="BA418" s="1559"/>
      <c r="BB418" s="1558">
        <f>IF(OR(BB417="×",BB417="△"),0,IF(V417&gt;V418,1,2))</f>
        <v>0</v>
      </c>
      <c r="BC418" s="1559"/>
      <c r="BD418" s="1558">
        <f>IF(OR(BD417="×",BD417="△"),0,IF(X417&gt;X418,1,2))</f>
        <v>0</v>
      </c>
      <c r="BE418" s="1559"/>
      <c r="BF418" s="1558">
        <f>IF(OR(BF417="×",BF417="△"),0,IF(Z417&gt;Z418,1,2))</f>
        <v>0</v>
      </c>
      <c r="BG418" s="1559"/>
      <c r="BH418" s="1558">
        <f>IF(OR(BH417="×",BH417="△"),0,IF(AB417&gt;AB418,1,2))</f>
        <v>0</v>
      </c>
      <c r="BI418" s="1560"/>
      <c r="BJ418" s="65"/>
    </row>
    <row r="419" spans="1:62" ht="15" customHeight="1">
      <c r="A419" s="1718" t="s">
        <v>310</v>
      </c>
      <c r="B419" s="1718"/>
      <c r="C419" s="1718"/>
      <c r="D419" s="1718"/>
      <c r="E419" s="1718"/>
      <c r="F419" s="1718"/>
      <c r="G419" s="1718"/>
      <c r="H419" s="1718"/>
      <c r="I419" s="1718"/>
      <c r="J419" s="1718"/>
      <c r="K419" s="1718"/>
      <c r="L419" s="1718"/>
      <c r="M419" s="1718"/>
      <c r="N419" s="1718"/>
      <c r="O419" s="1718"/>
      <c r="P419" s="1718"/>
      <c r="Q419" s="1718"/>
      <c r="R419" s="1718"/>
      <c r="S419" s="1718"/>
      <c r="T419" s="1718"/>
      <c r="U419" s="1718"/>
      <c r="V419" s="1718"/>
      <c r="W419" s="1718"/>
      <c r="X419" s="1718"/>
      <c r="Y419" s="1718"/>
      <c r="Z419" s="1718"/>
      <c r="AA419" s="1718"/>
      <c r="AB419" s="1718"/>
      <c r="AC419" s="1718"/>
      <c r="AD419" s="1718"/>
      <c r="AE419" s="1718"/>
      <c r="AF419" s="1718"/>
      <c r="AG419" s="1718"/>
      <c r="AH419" s="73"/>
      <c r="AI419" s="77"/>
      <c r="AJ419" s="73"/>
      <c r="AK419" s="73"/>
      <c r="AL419" s="73"/>
      <c r="AM419" s="73"/>
      <c r="BJ419" s="73"/>
    </row>
    <row r="420" spans="1:62" ht="15" customHeight="1">
      <c r="A420" s="1583" t="s">
        <v>311</v>
      </c>
      <c r="B420" s="1611"/>
      <c r="C420" s="1611"/>
      <c r="D420" s="1611"/>
      <c r="E420" s="1611"/>
      <c r="F420" s="1704" t="s">
        <v>103</v>
      </c>
      <c r="G420" s="1704"/>
      <c r="H420" s="1704"/>
      <c r="I420" s="1704"/>
      <c r="J420" s="1704"/>
      <c r="K420" s="1704"/>
      <c r="L420" s="1704"/>
      <c r="M420" s="1704"/>
      <c r="N420" s="1704"/>
      <c r="O420" s="1704"/>
      <c r="P420" s="1704"/>
      <c r="Q420" s="1704"/>
      <c r="R420" s="1704"/>
      <c r="S420" s="1704"/>
      <c r="T420" s="1704"/>
      <c r="U420" s="1704"/>
      <c r="V420" s="1704"/>
      <c r="W420" s="1704"/>
      <c r="X420" s="1704"/>
      <c r="Y420" s="1704"/>
      <c r="Z420" s="1704"/>
      <c r="AA420" s="1704"/>
      <c r="AB420" s="1704"/>
      <c r="AC420" s="1705"/>
      <c r="AD420" s="1466" t="s">
        <v>269</v>
      </c>
      <c r="AE420" s="1466"/>
      <c r="AF420" s="1466"/>
      <c r="AG420" s="1466"/>
      <c r="AH420" s="73"/>
      <c r="AI420" s="77"/>
      <c r="AJ420" s="73"/>
      <c r="AK420" s="73"/>
      <c r="AL420" s="73"/>
      <c r="AM420" s="73"/>
    </row>
    <row r="421" spans="1:62" ht="15" customHeight="1">
      <c r="A421" s="1586"/>
      <c r="B421" s="1587"/>
      <c r="C421" s="1587"/>
      <c r="D421" s="1587"/>
      <c r="E421" s="1587"/>
      <c r="F421" s="989">
        <v>1</v>
      </c>
      <c r="G421" s="1606" t="s">
        <v>1052</v>
      </c>
      <c r="H421" s="1606"/>
      <c r="I421" s="1606"/>
      <c r="J421" s="1606"/>
      <c r="K421" s="1606"/>
      <c r="L421" s="1606"/>
      <c r="M421" s="1606"/>
      <c r="N421" s="1606"/>
      <c r="O421" s="1606"/>
      <c r="P421" s="1606"/>
      <c r="Q421" s="1606"/>
      <c r="R421" s="1606"/>
      <c r="S421" s="1606"/>
      <c r="T421" s="1606"/>
      <c r="U421" s="1606"/>
      <c r="V421" s="1606"/>
      <c r="W421" s="1606"/>
      <c r="X421" s="1606"/>
      <c r="Y421" s="1606"/>
      <c r="Z421" s="1606"/>
      <c r="AA421" s="1606"/>
      <c r="AB421" s="1606"/>
      <c r="AC421" s="1686"/>
      <c r="AD421" s="1583" t="str">
        <f>IF(AI406,IF(AND(S422&lt;&gt;0,X422&lt;&gt;0,AA422&lt;&gt;0,S423&lt;&gt;0,S424&lt;&gt;0,S425="○"),"○","×"),"")</f>
        <v/>
      </c>
      <c r="AE421" s="1584"/>
      <c r="AF421" s="1584"/>
      <c r="AG421" s="1585"/>
      <c r="AH421" s="73"/>
      <c r="AI421" s="134" t="b">
        <f>AD421="○"</f>
        <v>0</v>
      </c>
      <c r="AJ421" s="73"/>
      <c r="AK421" s="73"/>
      <c r="AL421" s="73"/>
      <c r="AM421" s="73"/>
    </row>
    <row r="422" spans="1:62" ht="15" customHeight="1">
      <c r="A422" s="1586"/>
      <c r="B422" s="1587"/>
      <c r="C422" s="1587"/>
      <c r="D422" s="1587"/>
      <c r="E422" s="1587"/>
      <c r="F422" s="1003"/>
      <c r="G422" s="1600" t="s">
        <v>1053</v>
      </c>
      <c r="H422" s="1600"/>
      <c r="I422" s="1600"/>
      <c r="J422" s="1600"/>
      <c r="K422" s="1600"/>
      <c r="L422" s="1600"/>
      <c r="M422" s="1600"/>
      <c r="N422" s="1600"/>
      <c r="O422" s="1600"/>
      <c r="P422" s="1600"/>
      <c r="Q422" s="1600"/>
      <c r="R422" s="1600"/>
      <c r="S422" s="1601"/>
      <c r="T422" s="1601"/>
      <c r="U422" s="1601"/>
      <c r="V422" s="1601"/>
      <c r="W422" s="1004" t="s">
        <v>11</v>
      </c>
      <c r="X422" s="1602"/>
      <c r="Y422" s="1602"/>
      <c r="Z422" s="1004" t="s">
        <v>308</v>
      </c>
      <c r="AA422" s="1602"/>
      <c r="AB422" s="1602"/>
      <c r="AC422" s="1005" t="s">
        <v>647</v>
      </c>
      <c r="AD422" s="1586"/>
      <c r="AE422" s="1587"/>
      <c r="AF422" s="1587"/>
      <c r="AG422" s="1588"/>
      <c r="AH422" s="73"/>
      <c r="AI422" s="1006">
        <f>IF(AA422=1,DATE(S422,X422,AA422),DATE(S422,X422+1,1))</f>
        <v>1</v>
      </c>
      <c r="AJ422" s="73"/>
      <c r="AK422" s="73"/>
      <c r="AL422" s="73"/>
      <c r="AM422" s="73"/>
      <c r="BJ422" s="73"/>
    </row>
    <row r="423" spans="1:62" customFormat="1" ht="15" customHeight="1">
      <c r="A423" s="1586"/>
      <c r="B423" s="1587"/>
      <c r="C423" s="1587"/>
      <c r="D423" s="1587"/>
      <c r="E423" s="1587"/>
      <c r="F423" s="1007"/>
      <c r="G423" s="1539" t="s">
        <v>1054</v>
      </c>
      <c r="H423" s="1539"/>
      <c r="I423" s="1539"/>
      <c r="J423" s="1539"/>
      <c r="K423" s="1539"/>
      <c r="L423" s="1539"/>
      <c r="M423" s="1539"/>
      <c r="N423" s="1539"/>
      <c r="O423" s="1539"/>
      <c r="P423" s="1539"/>
      <c r="Q423" s="1539"/>
      <c r="R423" s="1539"/>
      <c r="S423" s="1464"/>
      <c r="T423" s="1464"/>
      <c r="U423" s="1464"/>
      <c r="V423" s="1464"/>
      <c r="W423" s="1464"/>
      <c r="X423" s="1464"/>
      <c r="Y423" s="1464"/>
      <c r="Z423" s="1464"/>
      <c r="AA423" s="1464"/>
      <c r="AB423" s="1464"/>
      <c r="AC423" s="1465"/>
      <c r="AD423" s="1586"/>
      <c r="AE423" s="1587"/>
      <c r="AF423" s="1587"/>
      <c r="AG423" s="1588"/>
      <c r="AH423" s="73"/>
      <c r="AI423" s="1008"/>
      <c r="BJ423" s="65"/>
    </row>
    <row r="424" spans="1:62" customFormat="1" ht="15" customHeight="1">
      <c r="A424" s="1586"/>
      <c r="B424" s="1587"/>
      <c r="C424" s="1587"/>
      <c r="D424" s="1587"/>
      <c r="E424" s="1587"/>
      <c r="F424" s="1007"/>
      <c r="G424" s="1603" t="s">
        <v>1055</v>
      </c>
      <c r="H424" s="1603"/>
      <c r="I424" s="1603"/>
      <c r="J424" s="1603"/>
      <c r="K424" s="1603"/>
      <c r="L424" s="1603"/>
      <c r="M424" s="1603"/>
      <c r="N424" s="1603"/>
      <c r="O424" s="1603"/>
      <c r="P424" s="1603"/>
      <c r="Q424" s="1603"/>
      <c r="R424" s="1603"/>
      <c r="S424" s="1604" t="s">
        <v>1588</v>
      </c>
      <c r="T424" s="1604"/>
      <c r="U424" s="1604"/>
      <c r="V424" s="1604"/>
      <c r="W424" s="1604"/>
      <c r="X424" s="1604"/>
      <c r="Y424" s="1604"/>
      <c r="Z424" s="1604"/>
      <c r="AA424" s="1604"/>
      <c r="AB424" s="1604"/>
      <c r="AC424" s="1605"/>
      <c r="AD424" s="1586"/>
      <c r="AE424" s="1587"/>
      <c r="AF424" s="1587"/>
      <c r="AG424" s="1588"/>
      <c r="AH424" s="73"/>
      <c r="AI424" s="82"/>
      <c r="BJ424" s="65"/>
    </row>
    <row r="425" spans="1:62" customFormat="1" ht="15" customHeight="1">
      <c r="A425" s="1586"/>
      <c r="B425" s="1587"/>
      <c r="C425" s="1587"/>
      <c r="D425" s="1587"/>
      <c r="E425" s="1587"/>
      <c r="F425" s="1007"/>
      <c r="G425" s="1580" t="s">
        <v>1162</v>
      </c>
      <c r="H425" s="1580"/>
      <c r="I425" s="1580"/>
      <c r="J425" s="1580"/>
      <c r="K425" s="1580"/>
      <c r="L425" s="1580"/>
      <c r="M425" s="1580"/>
      <c r="N425" s="1580"/>
      <c r="O425" s="1580"/>
      <c r="P425" s="1580"/>
      <c r="Q425" s="1580"/>
      <c r="R425" s="1580"/>
      <c r="S425" s="1581" t="str">
        <f>'(別紙6)定員超過（2・3号）'!D39</f>
        <v xml:space="preserve">× </v>
      </c>
      <c r="T425" s="1581"/>
      <c r="U425" s="1581"/>
      <c r="V425" s="1581"/>
      <c r="W425" s="1581"/>
      <c r="X425" s="1581"/>
      <c r="Y425" s="1581"/>
      <c r="Z425" s="1581"/>
      <c r="AA425" s="1581"/>
      <c r="AB425" s="1581"/>
      <c r="AC425" s="1582"/>
      <c r="AD425" s="1589"/>
      <c r="AE425" s="1424"/>
      <c r="AF425" s="1424"/>
      <c r="AG425" s="1590"/>
      <c r="AH425" s="73"/>
      <c r="AI425" s="82"/>
      <c r="BJ425" s="73"/>
    </row>
    <row r="426" spans="1:62" customFormat="1" ht="15" customHeight="1">
      <c r="A426" s="1586"/>
      <c r="B426" s="1587"/>
      <c r="C426" s="1587"/>
      <c r="D426" s="1587"/>
      <c r="E426" s="1587"/>
      <c r="F426" s="1593" t="str">
        <f>IF(AND(AI421,I251=3),"※","")</f>
        <v/>
      </c>
      <c r="G426" s="1606" t="str">
        <f>IF(AND(AI421,I213=3),"実績報告書の提出（3月のみ）","")</f>
        <v/>
      </c>
      <c r="H426" s="1606"/>
      <c r="I426" s="1606"/>
      <c r="J426" s="1606"/>
      <c r="K426" s="1606"/>
      <c r="L426" s="1606"/>
      <c r="M426" s="1606"/>
      <c r="N426" s="1606"/>
      <c r="O426" s="1606"/>
      <c r="P426" s="1606"/>
      <c r="Q426" s="1606"/>
      <c r="R426" s="1606"/>
      <c r="S426" s="1606"/>
      <c r="T426" s="1606"/>
      <c r="U426" s="1606"/>
      <c r="V426" s="1606"/>
      <c r="W426" s="1606"/>
      <c r="X426" s="1606"/>
      <c r="Y426" s="1606"/>
      <c r="Z426" s="1606"/>
      <c r="AA426" s="1606"/>
      <c r="AB426" s="1606"/>
      <c r="AC426" s="1606"/>
      <c r="AD426" s="1607" t="str">
        <f>IF(AND(AI421,I10=3),IF(AND('(別紙6)定員超過（2・3号）'!D76&gt;=1.2,'(別紙6)定員超過（2・3号）'!P75&lt;&gt;0),"×","○"),"")</f>
        <v/>
      </c>
      <c r="AE426" s="1608"/>
      <c r="AF426" s="1608"/>
      <c r="AG426" s="1609"/>
      <c r="AH426" s="73"/>
      <c r="AI426" s="134" t="b">
        <f>AD426="×"</f>
        <v>0</v>
      </c>
      <c r="BC426" s="65"/>
      <c r="BD426" s="65"/>
      <c r="BE426" s="65"/>
      <c r="BF426" s="65"/>
      <c r="BG426" s="65"/>
      <c r="BH426" s="65"/>
      <c r="BI426" s="65"/>
      <c r="BJ426" s="65"/>
    </row>
    <row r="427" spans="1:62" customFormat="1" ht="15" customHeight="1">
      <c r="A427" s="1589"/>
      <c r="B427" s="1424"/>
      <c r="C427" s="1424"/>
      <c r="D427" s="1424"/>
      <c r="E427" s="1424"/>
      <c r="F427" s="1411"/>
      <c r="G427" s="943"/>
      <c r="H427" s="1580" t="str">
        <f>IF(OR(AJ414,AJ417),"エラー",IF(AND(AD426="×",'(別紙6)定員超過（2・3号）'!D76&gt;=1.2,'(別紙6)定員超過（2・3号）'!P75&lt;&gt;0),'(別紙6)定員超過（2・3号）'!B63,IF(AND(AI406,AI421),TEXT(AI422,"YYYY年M月")&amp;"より解除","")))</f>
        <v>エラー</v>
      </c>
      <c r="I427" s="1580"/>
      <c r="J427" s="1580"/>
      <c r="K427" s="1580"/>
      <c r="L427" s="1580"/>
      <c r="M427" s="1580"/>
      <c r="N427" s="1580"/>
      <c r="O427" s="1580"/>
      <c r="P427" s="1580"/>
      <c r="Q427" s="1580"/>
      <c r="R427" s="1580"/>
      <c r="S427" s="1580"/>
      <c r="T427" s="1580"/>
      <c r="U427" s="1580"/>
      <c r="V427" s="1580"/>
      <c r="W427" s="1580"/>
      <c r="X427" s="1580"/>
      <c r="Y427" s="1580"/>
      <c r="Z427" s="1580"/>
      <c r="AA427" s="1580"/>
      <c r="AB427" s="1580"/>
      <c r="AC427" s="1656"/>
      <c r="AD427" s="1610"/>
      <c r="AE427" s="1581"/>
      <c r="AF427" s="1581"/>
      <c r="AG427" s="1582"/>
      <c r="AH427" s="73"/>
      <c r="AI427" s="82"/>
      <c r="BC427" s="65"/>
      <c r="BD427" s="65"/>
      <c r="BE427" s="65"/>
      <c r="BF427" s="65"/>
      <c r="BG427" s="65"/>
      <c r="BH427" s="65"/>
      <c r="BI427" s="65"/>
      <c r="BJ427" s="65"/>
    </row>
    <row r="428" spans="1:62" customFormat="1" ht="15" customHeight="1">
      <c r="A428" s="1593" t="s">
        <v>51</v>
      </c>
      <c r="B428" s="1594"/>
      <c r="C428" s="1594"/>
      <c r="D428" s="1594"/>
      <c r="E428" s="1594"/>
      <c r="F428" s="1595" t="s">
        <v>1207</v>
      </c>
      <c r="G428" s="1596"/>
      <c r="H428" s="1596"/>
      <c r="I428" s="1596"/>
      <c r="J428" s="1596"/>
      <c r="K428" s="1596"/>
      <c r="L428" s="1596"/>
      <c r="M428" s="1596"/>
      <c r="N428" s="1596"/>
      <c r="O428" s="1596"/>
      <c r="P428" s="1596"/>
      <c r="Q428" s="1596"/>
      <c r="R428" s="1596"/>
      <c r="S428" s="1596"/>
      <c r="T428" s="1596"/>
      <c r="U428" s="1596"/>
      <c r="V428" s="1596"/>
      <c r="W428" s="1596"/>
      <c r="X428" s="1596"/>
      <c r="Y428" s="1596"/>
      <c r="Z428" s="1596"/>
      <c r="AA428" s="1596"/>
      <c r="AB428" s="1596"/>
      <c r="AC428" s="1596"/>
      <c r="AD428" s="1596"/>
      <c r="AE428" s="1596"/>
      <c r="AF428" s="1596"/>
      <c r="AG428" s="1546"/>
      <c r="AH428" s="73"/>
      <c r="AI428" s="82"/>
      <c r="BC428" s="65"/>
      <c r="BD428" s="65"/>
      <c r="BE428" s="65"/>
      <c r="BF428" s="65"/>
      <c r="BG428" s="65"/>
      <c r="BH428" s="65"/>
      <c r="BI428" s="65"/>
      <c r="BJ428" s="65"/>
    </row>
    <row r="429" spans="1:62" customFormat="1" ht="15" customHeight="1">
      <c r="A429" s="1411"/>
      <c r="B429" s="1412"/>
      <c r="C429" s="1412"/>
      <c r="D429" s="1412"/>
      <c r="E429" s="1412"/>
      <c r="F429" s="1597" t="s">
        <v>1208</v>
      </c>
      <c r="G429" s="1598"/>
      <c r="H429" s="1598"/>
      <c r="I429" s="1598"/>
      <c r="J429" s="1598"/>
      <c r="K429" s="1598"/>
      <c r="L429" s="1598"/>
      <c r="M429" s="1598"/>
      <c r="N429" s="1598"/>
      <c r="O429" s="1598"/>
      <c r="P429" s="1598"/>
      <c r="Q429" s="1598"/>
      <c r="R429" s="1598"/>
      <c r="S429" s="1598"/>
      <c r="T429" s="1598"/>
      <c r="U429" s="1598"/>
      <c r="V429" s="1598"/>
      <c r="W429" s="1598"/>
      <c r="X429" s="1598"/>
      <c r="Y429" s="1598"/>
      <c r="Z429" s="1598"/>
      <c r="AA429" s="1598"/>
      <c r="AB429" s="1598"/>
      <c r="AC429" s="1598"/>
      <c r="AD429" s="1598"/>
      <c r="AE429" s="1598"/>
      <c r="AF429" s="1598"/>
      <c r="AG429" s="1599"/>
      <c r="AH429" s="73"/>
      <c r="AI429" s="82"/>
      <c r="BC429" s="65"/>
      <c r="BD429" s="65"/>
      <c r="BE429" s="65"/>
      <c r="BF429" s="65"/>
      <c r="BG429" s="65"/>
      <c r="BH429" s="65"/>
      <c r="BI429" s="65"/>
      <c r="BJ429" s="65"/>
    </row>
    <row r="430" spans="1:62" ht="15" customHeight="1" thickBot="1">
      <c r="A430" s="926"/>
      <c r="B430" s="926"/>
      <c r="C430" s="926"/>
      <c r="D430" s="926"/>
      <c r="E430" s="926"/>
      <c r="F430" s="926"/>
      <c r="G430" s="926"/>
      <c r="H430" s="926"/>
      <c r="I430" s="926"/>
      <c r="J430" s="926"/>
      <c r="K430" s="926"/>
      <c r="L430" s="926"/>
      <c r="M430" s="926"/>
      <c r="N430" s="926"/>
      <c r="O430" s="926"/>
      <c r="P430" s="926"/>
      <c r="Q430" s="926"/>
      <c r="R430" s="926"/>
      <c r="S430" s="926"/>
      <c r="T430" s="926"/>
      <c r="U430" s="926"/>
      <c r="V430" s="926"/>
      <c r="W430" s="926"/>
      <c r="X430" s="926"/>
      <c r="Y430" s="926"/>
      <c r="Z430" s="926"/>
      <c r="AA430" s="926"/>
      <c r="AB430" s="926"/>
      <c r="AC430" s="926"/>
      <c r="AD430" s="926"/>
      <c r="AE430" s="926"/>
      <c r="AF430" s="314"/>
      <c r="AG430" s="314"/>
      <c r="AI430" s="82"/>
      <c r="BC430"/>
      <c r="BD430"/>
      <c r="BE430"/>
      <c r="BF430"/>
      <c r="BG430"/>
      <c r="BH430"/>
      <c r="BI430"/>
      <c r="BJ430"/>
    </row>
    <row r="431" spans="1:62" ht="15" customHeight="1" thickBot="1">
      <c r="A431" s="1442" t="s">
        <v>1626</v>
      </c>
      <c r="B431" s="1442"/>
      <c r="C431" s="1442"/>
      <c r="D431" s="1442"/>
      <c r="E431" s="1442"/>
      <c r="F431" s="1442"/>
      <c r="G431" s="1442"/>
      <c r="H431" s="1442"/>
      <c r="I431" s="1442"/>
      <c r="J431" s="1496" t="str">
        <f>IF(AND(AI432,AI434,AI435,AI436,AI437),AI438,"×")</f>
        <v>×</v>
      </c>
      <c r="K431" s="1497"/>
      <c r="L431" s="1497"/>
      <c r="M431" s="1497"/>
      <c r="N431" s="1498"/>
      <c r="O431" s="1538" t="s">
        <v>268</v>
      </c>
      <c r="P431" s="1539"/>
      <c r="Q431" s="1539"/>
      <c r="R431" s="926"/>
      <c r="S431" s="926"/>
      <c r="T431" s="926"/>
      <c r="U431" s="926"/>
      <c r="V431" s="314"/>
      <c r="W431" s="314"/>
      <c r="X431" s="314"/>
      <c r="Y431" s="314"/>
      <c r="Z431" s="314"/>
      <c r="AA431" s="314"/>
      <c r="AB431" s="314"/>
      <c r="AC431" s="314"/>
      <c r="AD431" s="314"/>
      <c r="AE431" s="314"/>
      <c r="AF431" s="314"/>
      <c r="AG431" s="314"/>
      <c r="AH431" s="73"/>
      <c r="AI431" s="73"/>
      <c r="BC431"/>
      <c r="BD431"/>
      <c r="BE431"/>
      <c r="BF431"/>
      <c r="BG431"/>
      <c r="BH431"/>
      <c r="BI431"/>
      <c r="BJ431"/>
    </row>
    <row r="432" spans="1:62" ht="15" customHeight="1">
      <c r="A432" s="1466" t="s">
        <v>121</v>
      </c>
      <c r="B432" s="1466"/>
      <c r="C432" s="1466"/>
      <c r="D432" s="1466"/>
      <c r="E432" s="1466"/>
      <c r="F432" s="1635"/>
      <c r="G432" s="1635"/>
      <c r="H432" s="1635"/>
      <c r="I432" s="1635"/>
      <c r="J432" s="1636"/>
      <c r="K432" s="1636"/>
      <c r="L432" s="314"/>
      <c r="M432" s="314"/>
      <c r="N432" s="314"/>
      <c r="O432" s="314"/>
      <c r="P432" s="314"/>
      <c r="Q432" s="314"/>
      <c r="R432" s="314"/>
      <c r="S432" s="314"/>
      <c r="T432" s="314"/>
      <c r="U432" s="314"/>
      <c r="V432" s="314"/>
      <c r="W432" s="314"/>
      <c r="X432" s="314"/>
      <c r="Y432" s="314"/>
      <c r="Z432" s="314"/>
      <c r="AA432" s="314"/>
      <c r="AB432" s="314"/>
      <c r="AC432" s="314"/>
      <c r="AD432" s="314"/>
      <c r="AE432" s="314"/>
      <c r="AF432" s="314"/>
      <c r="AG432" s="314"/>
      <c r="AH432" s="73"/>
      <c r="AI432" s="134" t="b">
        <f>F432="申請する"</f>
        <v>0</v>
      </c>
      <c r="BC432"/>
      <c r="BD432"/>
      <c r="BE432"/>
      <c r="BF432"/>
      <c r="BG432"/>
      <c r="BH432"/>
      <c r="BI432"/>
      <c r="BJ432"/>
    </row>
    <row r="433" spans="1:62" ht="15" customHeight="1">
      <c r="A433" s="1583" t="s">
        <v>302</v>
      </c>
      <c r="B433" s="1949"/>
      <c r="C433" s="1949"/>
      <c r="D433" s="1949"/>
      <c r="E433" s="1949"/>
      <c r="F433" s="1528" t="s">
        <v>103</v>
      </c>
      <c r="G433" s="1466"/>
      <c r="H433" s="1466"/>
      <c r="I433" s="1466"/>
      <c r="J433" s="1466"/>
      <c r="K433" s="1466"/>
      <c r="L433" s="1466"/>
      <c r="M433" s="1466"/>
      <c r="N433" s="1466"/>
      <c r="O433" s="1466"/>
      <c r="P433" s="1466"/>
      <c r="Q433" s="1466"/>
      <c r="R433" s="1466"/>
      <c r="S433" s="1466"/>
      <c r="T433" s="1466"/>
      <c r="U433" s="1466"/>
      <c r="V433" s="1466"/>
      <c r="W433" s="1466"/>
      <c r="X433" s="1466"/>
      <c r="Y433" s="1466"/>
      <c r="Z433" s="1466"/>
      <c r="AA433" s="1466" t="s">
        <v>269</v>
      </c>
      <c r="AB433" s="1466"/>
      <c r="AC433" s="1466"/>
      <c r="AD433" s="1466"/>
      <c r="AE433" s="926"/>
      <c r="AF433" s="314"/>
      <c r="AG433" s="314"/>
      <c r="AH433" s="73"/>
      <c r="BC433"/>
      <c r="BD433"/>
      <c r="BE433"/>
      <c r="BF433"/>
      <c r="BG433"/>
      <c r="BH433"/>
      <c r="BI433"/>
      <c r="BJ433"/>
    </row>
    <row r="434" spans="1:62" ht="24.95" customHeight="1">
      <c r="A434" s="1586"/>
      <c r="B434" s="1587"/>
      <c r="C434" s="1587"/>
      <c r="D434" s="1587"/>
      <c r="E434" s="1587"/>
      <c r="F434" s="678">
        <v>1</v>
      </c>
      <c r="G434" s="1831" t="s">
        <v>306</v>
      </c>
      <c r="H434" s="1831"/>
      <c r="I434" s="1831"/>
      <c r="J434" s="1831"/>
      <c r="K434" s="1831"/>
      <c r="L434" s="1831"/>
      <c r="M434" s="1831"/>
      <c r="N434" s="1831"/>
      <c r="O434" s="1831"/>
      <c r="P434" s="1831"/>
      <c r="Q434" s="1831"/>
      <c r="R434" s="1831"/>
      <c r="S434" s="1831"/>
      <c r="T434" s="1831"/>
      <c r="U434" s="1831"/>
      <c r="V434" s="1831"/>
      <c r="W434" s="1831"/>
      <c r="X434" s="1831"/>
      <c r="Y434" s="1831"/>
      <c r="Z434" s="1832"/>
      <c r="AA434" s="1795" t="str">
        <f>IF(OR(J297="○",J342="○"),"×","○")</f>
        <v>×</v>
      </c>
      <c r="AB434" s="1704"/>
      <c r="AC434" s="1704"/>
      <c r="AD434" s="1663"/>
      <c r="AE434" s="926"/>
      <c r="AF434" s="314"/>
      <c r="AG434" s="314"/>
      <c r="AH434" s="73"/>
      <c r="AI434" s="937" t="b">
        <f>AA434="○"</f>
        <v>0</v>
      </c>
      <c r="BC434"/>
      <c r="BD434"/>
      <c r="BE434"/>
      <c r="BF434"/>
      <c r="BG434"/>
      <c r="BH434"/>
      <c r="BI434"/>
      <c r="BJ434"/>
    </row>
    <row r="435" spans="1:62" ht="15" customHeight="1">
      <c r="A435" s="1586"/>
      <c r="B435" s="1587"/>
      <c r="C435" s="1587"/>
      <c r="D435" s="1587"/>
      <c r="E435" s="1587"/>
      <c r="F435" s="940">
        <v>2</v>
      </c>
      <c r="G435" s="1915" t="s">
        <v>1272</v>
      </c>
      <c r="H435" s="1915"/>
      <c r="I435" s="1915"/>
      <c r="J435" s="1915"/>
      <c r="K435" s="1915"/>
      <c r="L435" s="1915"/>
      <c r="M435" s="1915"/>
      <c r="N435" s="1915"/>
      <c r="O435" s="1915"/>
      <c r="P435" s="1915"/>
      <c r="Q435" s="1915"/>
      <c r="R435" s="1915"/>
      <c r="S435" s="1915"/>
      <c r="T435" s="1915"/>
      <c r="U435" s="1915"/>
      <c r="V435" s="1915"/>
      <c r="W435" s="1915"/>
      <c r="X435" s="1915"/>
      <c r="Y435" s="1915"/>
      <c r="Z435" s="2034"/>
      <c r="AA435" s="1567" t="str">
        <f>【様式５】職員数算出表!O81</f>
        <v>-</v>
      </c>
      <c r="AB435" s="1567"/>
      <c r="AC435" s="1567"/>
      <c r="AD435" s="1567"/>
      <c r="AE435" s="926"/>
      <c r="AF435" s="314"/>
      <c r="AG435" s="314"/>
      <c r="AH435" s="73"/>
      <c r="AI435" s="937" t="b">
        <f>AA435="○"</f>
        <v>0</v>
      </c>
      <c r="BC435"/>
      <c r="BD435"/>
      <c r="BE435"/>
      <c r="BF435"/>
      <c r="BG435"/>
      <c r="BH435"/>
      <c r="BI435"/>
      <c r="BJ435"/>
    </row>
    <row r="436" spans="1:62" ht="24.95" customHeight="1">
      <c r="A436" s="1586"/>
      <c r="B436" s="1587"/>
      <c r="C436" s="1587"/>
      <c r="D436" s="1587"/>
      <c r="E436" s="1587"/>
      <c r="F436" s="940">
        <v>3</v>
      </c>
      <c r="G436" s="1831" t="s">
        <v>561</v>
      </c>
      <c r="H436" s="1831"/>
      <c r="I436" s="1831"/>
      <c r="J436" s="1831"/>
      <c r="K436" s="1831"/>
      <c r="L436" s="1831"/>
      <c r="M436" s="1831"/>
      <c r="N436" s="1831"/>
      <c r="O436" s="1831"/>
      <c r="P436" s="1831"/>
      <c r="Q436" s="1831"/>
      <c r="R436" s="1831"/>
      <c r="S436" s="1831"/>
      <c r="T436" s="1831"/>
      <c r="U436" s="1831"/>
      <c r="V436" s="1831"/>
      <c r="W436" s="1831"/>
      <c r="X436" s="1831"/>
      <c r="Y436" s="1831"/>
      <c r="Z436" s="1831"/>
      <c r="AA436" s="1854"/>
      <c r="AB436" s="1855"/>
      <c r="AC436" s="1855"/>
      <c r="AD436" s="1856"/>
      <c r="AE436" s="926"/>
      <c r="AF436" s="314"/>
      <c r="AG436" s="314"/>
      <c r="AH436" s="73"/>
      <c r="AI436" s="937" t="b">
        <f>AA436="○"</f>
        <v>0</v>
      </c>
      <c r="BC436"/>
      <c r="BD436"/>
      <c r="BE436"/>
      <c r="BF436"/>
      <c r="BG436"/>
      <c r="BH436"/>
      <c r="BI436"/>
      <c r="BJ436"/>
    </row>
    <row r="437" spans="1:62" ht="15" customHeight="1">
      <c r="A437" s="1586"/>
      <c r="B437" s="1587"/>
      <c r="C437" s="1587"/>
      <c r="D437" s="1587"/>
      <c r="E437" s="1587"/>
      <c r="F437" s="936">
        <v>4</v>
      </c>
      <c r="G437" s="1916" t="s">
        <v>303</v>
      </c>
      <c r="H437" s="1916"/>
      <c r="I437" s="1916"/>
      <c r="J437" s="1916"/>
      <c r="K437" s="1916"/>
      <c r="L437" s="1916"/>
      <c r="M437" s="1916"/>
      <c r="N437" s="1916"/>
      <c r="O437" s="1916"/>
      <c r="P437" s="1916"/>
      <c r="Q437" s="1916"/>
      <c r="R437" s="1916"/>
      <c r="S437" s="1916"/>
      <c r="T437" s="1916"/>
      <c r="U437" s="1916"/>
      <c r="V437" s="1916"/>
      <c r="W437" s="1916"/>
      <c r="X437" s="1916"/>
      <c r="Y437" s="1916"/>
      <c r="Z437" s="1916"/>
      <c r="AA437" s="1665" t="str">
        <f>IF(SUM(U438:X439)&gt;0,"○","×")</f>
        <v>×</v>
      </c>
      <c r="AB437" s="1756"/>
      <c r="AC437" s="1756"/>
      <c r="AD437" s="1629"/>
      <c r="AE437" s="926"/>
      <c r="AF437" s="314"/>
      <c r="AG437" s="314"/>
      <c r="AH437" s="73"/>
      <c r="AI437" s="937" t="b">
        <f>AA437="○"</f>
        <v>0</v>
      </c>
    </row>
    <row r="438" spans="1:62" ht="15" customHeight="1">
      <c r="A438" s="1586"/>
      <c r="B438" s="1587"/>
      <c r="C438" s="1587"/>
      <c r="D438" s="1587"/>
      <c r="E438" s="1587"/>
      <c r="F438" s="1676" t="s">
        <v>287</v>
      </c>
      <c r="G438" s="1522"/>
      <c r="H438" s="1499" t="s">
        <v>68</v>
      </c>
      <c r="I438" s="1499"/>
      <c r="J438" s="1499"/>
      <c r="K438" s="1499"/>
      <c r="L438" s="1499"/>
      <c r="M438" s="1499"/>
      <c r="N438" s="1499"/>
      <c r="O438" s="1499"/>
      <c r="P438" s="1499"/>
      <c r="Q438" s="1499"/>
      <c r="R438" s="1499"/>
      <c r="S438" s="1499"/>
      <c r="T438" s="1499"/>
      <c r="U438" s="2061"/>
      <c r="V438" s="2061"/>
      <c r="W438" s="2061"/>
      <c r="X438" s="2061"/>
      <c r="Y438" s="1544" t="s">
        <v>26</v>
      </c>
      <c r="Z438" s="2092"/>
      <c r="AA438" s="1630"/>
      <c r="AB438" s="1539"/>
      <c r="AC438" s="1539"/>
      <c r="AD438" s="1631"/>
      <c r="AE438" s="926"/>
      <c r="AF438" s="314"/>
      <c r="AG438" s="314"/>
      <c r="AH438" s="73"/>
      <c r="AI438" s="1555" t="str">
        <f>IF(U438&gt;0,"特児",IF(U439&gt;0,"その他",""))</f>
        <v/>
      </c>
    </row>
    <row r="439" spans="1:62" ht="15" customHeight="1">
      <c r="A439" s="1589"/>
      <c r="B439" s="1424"/>
      <c r="C439" s="1424"/>
      <c r="D439" s="1424"/>
      <c r="E439" s="1424"/>
      <c r="F439" s="1702" t="s">
        <v>304</v>
      </c>
      <c r="G439" s="1491"/>
      <c r="H439" s="1504" t="s">
        <v>305</v>
      </c>
      <c r="I439" s="1504"/>
      <c r="J439" s="1504"/>
      <c r="K439" s="1504"/>
      <c r="L439" s="1504"/>
      <c r="M439" s="1504"/>
      <c r="N439" s="1504"/>
      <c r="O439" s="1504"/>
      <c r="P439" s="1504"/>
      <c r="Q439" s="1504"/>
      <c r="R439" s="1504"/>
      <c r="S439" s="1504"/>
      <c r="T439" s="1504"/>
      <c r="U439" s="2033"/>
      <c r="V439" s="2033"/>
      <c r="W439" s="2033"/>
      <c r="X439" s="2033"/>
      <c r="Y439" s="1667" t="s">
        <v>26</v>
      </c>
      <c r="Z439" s="1668"/>
      <c r="AA439" s="1411"/>
      <c r="AB439" s="1412"/>
      <c r="AC439" s="1412"/>
      <c r="AD439" s="1439"/>
      <c r="AE439" s="926"/>
      <c r="AF439" s="314"/>
      <c r="AG439" s="314"/>
      <c r="AH439" s="73"/>
      <c r="AI439" s="2062"/>
    </row>
    <row r="440" spans="1:62" ht="36.75" customHeight="1">
      <c r="A440" s="1523" t="s">
        <v>51</v>
      </c>
      <c r="B440" s="1523"/>
      <c r="C440" s="1523"/>
      <c r="D440" s="1523"/>
      <c r="E440" s="1523"/>
      <c r="F440" s="2030" t="s">
        <v>1368</v>
      </c>
      <c r="G440" s="1515"/>
      <c r="H440" s="1515"/>
      <c r="I440" s="1515"/>
      <c r="J440" s="1515"/>
      <c r="K440" s="1515"/>
      <c r="L440" s="1515"/>
      <c r="M440" s="1515"/>
      <c r="N440" s="1515"/>
      <c r="O440" s="1515"/>
      <c r="P440" s="1515"/>
      <c r="Q440" s="1515"/>
      <c r="R440" s="1515"/>
      <c r="S440" s="1515"/>
      <c r="T440" s="1515"/>
      <c r="U440" s="1515"/>
      <c r="V440" s="1515"/>
      <c r="W440" s="1515"/>
      <c r="X440" s="1515"/>
      <c r="Y440" s="1515"/>
      <c r="Z440" s="1515"/>
      <c r="AA440" s="1515"/>
      <c r="AB440" s="1515"/>
      <c r="AC440" s="1515"/>
      <c r="AD440" s="1515"/>
      <c r="AE440" s="680"/>
      <c r="AF440" s="681"/>
      <c r="AG440" s="314"/>
      <c r="AH440" s="73"/>
    </row>
    <row r="441" spans="1:62" ht="24.95" customHeight="1">
      <c r="A441" s="1523"/>
      <c r="B441" s="1523"/>
      <c r="C441" s="1523"/>
      <c r="D441" s="1523"/>
      <c r="E441" s="1523"/>
      <c r="F441" s="1569" t="s">
        <v>581</v>
      </c>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680"/>
      <c r="AF441" s="681"/>
      <c r="AG441" s="314"/>
    </row>
    <row r="442" spans="1:62" ht="174.95" customHeight="1">
      <c r="A442" s="1523"/>
      <c r="B442" s="1523"/>
      <c r="C442" s="1523"/>
      <c r="D442" s="1523"/>
      <c r="E442" s="1523"/>
      <c r="F442" s="1400" t="s">
        <v>1046</v>
      </c>
      <c r="G442" s="1401"/>
      <c r="H442" s="1401"/>
      <c r="I442" s="1401"/>
      <c r="J442" s="1401"/>
      <c r="K442" s="1401"/>
      <c r="L442" s="1401"/>
      <c r="M442" s="1401"/>
      <c r="N442" s="1401"/>
      <c r="O442" s="1401"/>
      <c r="P442" s="1401"/>
      <c r="Q442" s="1401"/>
      <c r="R442" s="1401"/>
      <c r="S442" s="1401"/>
      <c r="T442" s="1401"/>
      <c r="U442" s="1401"/>
      <c r="V442" s="1401"/>
      <c r="W442" s="1401"/>
      <c r="X442" s="1401"/>
      <c r="Y442" s="1401"/>
      <c r="Z442" s="1401"/>
      <c r="AA442" s="1401"/>
      <c r="AB442" s="1401"/>
      <c r="AC442" s="1401"/>
      <c r="AD442" s="1401"/>
      <c r="AE442" s="680"/>
      <c r="AF442" s="681"/>
      <c r="AG442" s="314"/>
    </row>
    <row r="443" spans="1:62" ht="15" customHeight="1" thickBot="1">
      <c r="A443" s="921"/>
      <c r="B443" s="921"/>
      <c r="C443" s="921"/>
      <c r="D443" s="921"/>
      <c r="E443" s="921"/>
      <c r="F443" s="923"/>
      <c r="G443" s="923"/>
      <c r="H443" s="923"/>
      <c r="I443" s="923"/>
      <c r="J443" s="923"/>
      <c r="K443" s="923"/>
      <c r="L443" s="923"/>
      <c r="M443" s="923"/>
      <c r="N443" s="923"/>
      <c r="O443" s="923"/>
      <c r="P443" s="923"/>
      <c r="Q443" s="923"/>
      <c r="R443" s="923"/>
      <c r="S443" s="923"/>
      <c r="T443" s="923"/>
      <c r="U443" s="923"/>
      <c r="V443" s="923"/>
      <c r="W443" s="923"/>
      <c r="X443" s="923"/>
      <c r="Y443" s="923"/>
      <c r="Z443" s="923"/>
      <c r="AA443" s="923"/>
      <c r="AB443" s="923"/>
      <c r="AC443" s="923"/>
      <c r="AD443" s="923"/>
      <c r="AE443" s="314"/>
      <c r="AF443" s="314"/>
      <c r="AG443" s="314"/>
    </row>
    <row r="444" spans="1:62" ht="15" customHeight="1" thickBot="1">
      <c r="A444" s="1533" t="s">
        <v>1627</v>
      </c>
      <c r="B444" s="1533"/>
      <c r="C444" s="1533"/>
      <c r="D444" s="1533"/>
      <c r="E444" s="1533"/>
      <c r="F444" s="1533"/>
      <c r="G444" s="1533"/>
      <c r="H444" s="1533"/>
      <c r="I444" s="1533"/>
      <c r="J444" s="1496" t="str">
        <f>IFERROR(IF(AND(AI445,AI447,AI449),"○","×"),"エラー")</f>
        <v>×</v>
      </c>
      <c r="K444" s="1497"/>
      <c r="L444" s="1497"/>
      <c r="M444" s="1497"/>
      <c r="N444" s="1498"/>
      <c r="O444" s="1538" t="s">
        <v>268</v>
      </c>
      <c r="P444" s="1539"/>
      <c r="Q444" s="1539"/>
      <c r="R444" s="926"/>
      <c r="S444" s="926"/>
      <c r="T444" s="926"/>
      <c r="U444" s="926"/>
      <c r="V444" s="314"/>
      <c r="W444" s="314"/>
      <c r="X444" s="314"/>
      <c r="Y444" s="314"/>
      <c r="Z444" s="314"/>
      <c r="AA444" s="314"/>
      <c r="AB444" s="314"/>
      <c r="AC444" s="314"/>
      <c r="AD444" s="314"/>
      <c r="AE444" s="926"/>
      <c r="AF444" s="314"/>
      <c r="AG444" s="314"/>
      <c r="AH444" s="73"/>
    </row>
    <row r="445" spans="1:62" ht="15" customHeight="1">
      <c r="A445" s="1466" t="s">
        <v>121</v>
      </c>
      <c r="B445" s="1466"/>
      <c r="C445" s="1466"/>
      <c r="D445" s="1466"/>
      <c r="E445" s="1466"/>
      <c r="F445" s="1635"/>
      <c r="G445" s="1635"/>
      <c r="H445" s="1635"/>
      <c r="I445" s="1635"/>
      <c r="J445" s="1636"/>
      <c r="K445" s="1636"/>
      <c r="L445" s="314"/>
      <c r="M445" s="314"/>
      <c r="N445" s="314"/>
      <c r="O445" s="314"/>
      <c r="P445" s="314"/>
      <c r="Q445" s="314"/>
      <c r="R445" s="314"/>
      <c r="S445" s="314"/>
      <c r="T445" s="314"/>
      <c r="U445" s="314"/>
      <c r="V445" s="314"/>
      <c r="W445" s="314"/>
      <c r="X445" s="314"/>
      <c r="Y445" s="314"/>
      <c r="Z445" s="314"/>
      <c r="AA445" s="314"/>
      <c r="AB445" s="314"/>
      <c r="AC445" s="314"/>
      <c r="AD445" s="314"/>
      <c r="AE445" s="314"/>
      <c r="AF445" s="314"/>
      <c r="AG445" s="314"/>
      <c r="AH445" s="73"/>
      <c r="AI445" s="134" t="b">
        <f>F445="申請する"</f>
        <v>0</v>
      </c>
    </row>
    <row r="446" spans="1:62" ht="15" customHeight="1">
      <c r="A446" s="1583" t="s">
        <v>312</v>
      </c>
      <c r="B446" s="2063"/>
      <c r="C446" s="2063"/>
      <c r="D446" s="2063"/>
      <c r="E446" s="2063"/>
      <c r="F446" s="1528" t="s">
        <v>103</v>
      </c>
      <c r="G446" s="1466"/>
      <c r="H446" s="1466"/>
      <c r="I446" s="1466"/>
      <c r="J446" s="1466"/>
      <c r="K446" s="1466"/>
      <c r="L446" s="1466"/>
      <c r="M446" s="1466"/>
      <c r="N446" s="1466"/>
      <c r="O446" s="1466"/>
      <c r="P446" s="1466"/>
      <c r="Q446" s="1466"/>
      <c r="R446" s="1466"/>
      <c r="S446" s="1466"/>
      <c r="T446" s="1466"/>
      <c r="U446" s="1466"/>
      <c r="V446" s="1466"/>
      <c r="W446" s="1466"/>
      <c r="X446" s="1466"/>
      <c r="Y446" s="1466"/>
      <c r="Z446" s="1466"/>
      <c r="AA446" s="1466" t="s">
        <v>269</v>
      </c>
      <c r="AB446" s="1466"/>
      <c r="AC446" s="1466"/>
      <c r="AD446" s="1466"/>
      <c r="AE446" s="664"/>
      <c r="AF446" s="664"/>
      <c r="AG446" s="664"/>
      <c r="AH446" s="73"/>
      <c r="AI446" s="77"/>
    </row>
    <row r="447" spans="1:62" ht="15" customHeight="1">
      <c r="A447" s="1614"/>
      <c r="B447" s="1603"/>
      <c r="C447" s="1603"/>
      <c r="D447" s="1603"/>
      <c r="E447" s="1603"/>
      <c r="F447" s="936">
        <v>1</v>
      </c>
      <c r="G447" s="1754" t="s">
        <v>397</v>
      </c>
      <c r="H447" s="1754"/>
      <c r="I447" s="1754"/>
      <c r="J447" s="1754"/>
      <c r="K447" s="1754"/>
      <c r="L447" s="1754"/>
      <c r="M447" s="1754"/>
      <c r="N447" s="1754"/>
      <c r="O447" s="1754"/>
      <c r="P447" s="1754"/>
      <c r="Q447" s="1754"/>
      <c r="R447" s="1754"/>
      <c r="S447" s="1754"/>
      <c r="T447" s="1754"/>
      <c r="U447" s="1754"/>
      <c r="V447" s="1754"/>
      <c r="W447" s="1754"/>
      <c r="X447" s="1754"/>
      <c r="Y447" s="1754"/>
      <c r="Z447" s="1755"/>
      <c r="AA447" s="1665" t="str">
        <f>IF(M448&gt;=91,"○","×")</f>
        <v>×</v>
      </c>
      <c r="AB447" s="1756"/>
      <c r="AC447" s="1756"/>
      <c r="AD447" s="1629"/>
      <c r="AE447" s="664"/>
      <c r="AF447" s="664"/>
      <c r="AG447" s="664"/>
      <c r="AI447" s="2039" t="b">
        <f>AA447="○"</f>
        <v>0</v>
      </c>
    </row>
    <row r="448" spans="1:62" ht="15" customHeight="1">
      <c r="A448" s="1614"/>
      <c r="B448" s="1603"/>
      <c r="C448" s="1603"/>
      <c r="D448" s="1603"/>
      <c r="E448" s="1603"/>
      <c r="F448" s="1784" t="s">
        <v>286</v>
      </c>
      <c r="G448" s="1785"/>
      <c r="H448" s="1785"/>
      <c r="I448" s="1785"/>
      <c r="J448" s="1785"/>
      <c r="K448" s="1785"/>
      <c r="L448" s="1786"/>
      <c r="M448" s="1851">
        <f>SUM(W14:X15)</f>
        <v>0</v>
      </c>
      <c r="N448" s="1852"/>
      <c r="O448" s="1852"/>
      <c r="P448" s="1852"/>
      <c r="Q448" s="1852"/>
      <c r="R448" s="1852"/>
      <c r="S448" s="1852"/>
      <c r="T448" s="1852"/>
      <c r="U448" s="1852"/>
      <c r="V448" s="1852"/>
      <c r="W448" s="1852"/>
      <c r="X448" s="1852"/>
      <c r="Y448" s="1852"/>
      <c r="Z448" s="1853"/>
      <c r="AA448" s="1411"/>
      <c r="AB448" s="1412"/>
      <c r="AC448" s="1412"/>
      <c r="AD448" s="1439"/>
      <c r="AE448" s="664"/>
      <c r="AF448" s="664"/>
      <c r="AG448" s="664"/>
      <c r="AI448" s="2039"/>
    </row>
    <row r="449" spans="1:35" ht="15" customHeight="1">
      <c r="A449" s="1614"/>
      <c r="B449" s="1603"/>
      <c r="C449" s="1603"/>
      <c r="D449" s="1603"/>
      <c r="E449" s="1603"/>
      <c r="F449" s="934">
        <v>2</v>
      </c>
      <c r="G449" s="1515" t="s">
        <v>1273</v>
      </c>
      <c r="H449" s="1515"/>
      <c r="I449" s="1515"/>
      <c r="J449" s="1515"/>
      <c r="K449" s="1515"/>
      <c r="L449" s="1515"/>
      <c r="M449" s="1515"/>
      <c r="N449" s="1515"/>
      <c r="O449" s="1515"/>
      <c r="P449" s="1515"/>
      <c r="Q449" s="1515"/>
      <c r="R449" s="1515"/>
      <c r="S449" s="1515"/>
      <c r="T449" s="1515"/>
      <c r="U449" s="1515"/>
      <c r="V449" s="1515"/>
      <c r="W449" s="1515"/>
      <c r="X449" s="1515"/>
      <c r="Y449" s="1515"/>
      <c r="Z449" s="1462"/>
      <c r="AA449" s="2064" t="str">
        <f>IF(OR(AA450="○",AA452="○"),"○","×")</f>
        <v>×</v>
      </c>
      <c r="AB449" s="2065"/>
      <c r="AC449" s="2065"/>
      <c r="AD449" s="2093"/>
      <c r="AE449" s="926"/>
      <c r="AF449" s="314"/>
      <c r="AG449" s="314"/>
      <c r="AI449" s="937" t="b">
        <f>AA449="○"</f>
        <v>0</v>
      </c>
    </row>
    <row r="450" spans="1:35" ht="15" customHeight="1">
      <c r="A450" s="1614"/>
      <c r="B450" s="1603"/>
      <c r="C450" s="1603"/>
      <c r="D450" s="1603"/>
      <c r="E450" s="1603"/>
      <c r="F450" s="1837" t="s">
        <v>287</v>
      </c>
      <c r="G450" s="1838"/>
      <c r="H450" s="1956" t="s">
        <v>313</v>
      </c>
      <c r="I450" s="1956"/>
      <c r="J450" s="1956"/>
      <c r="K450" s="1956"/>
      <c r="L450" s="1956"/>
      <c r="M450" s="1956"/>
      <c r="N450" s="1956"/>
      <c r="O450" s="1956"/>
      <c r="P450" s="1956"/>
      <c r="Q450" s="1956"/>
      <c r="R450" s="1956"/>
      <c r="S450" s="1956"/>
      <c r="T450" s="1956"/>
      <c r="U450" s="1956"/>
      <c r="V450" s="1956"/>
      <c r="W450" s="1956"/>
      <c r="X450" s="1956"/>
      <c r="Y450" s="1956"/>
      <c r="Z450" s="1957"/>
      <c r="AA450" s="1837" t="str">
        <f>IF(OR(AI74,AI75),【様式５】職員数算出表!O79,"")</f>
        <v>-</v>
      </c>
      <c r="AB450" s="1838"/>
      <c r="AC450" s="1838"/>
      <c r="AD450" s="1839"/>
      <c r="AE450" s="926"/>
      <c r="AF450" s="314"/>
      <c r="AG450" s="314"/>
      <c r="AI450" s="66"/>
    </row>
    <row r="451" spans="1:35" ht="24.95" customHeight="1">
      <c r="A451" s="1614"/>
      <c r="B451" s="1603"/>
      <c r="C451" s="1603"/>
      <c r="D451" s="1603"/>
      <c r="E451" s="1603"/>
      <c r="F451" s="680"/>
      <c r="G451" s="681"/>
      <c r="H451" s="1429" t="s">
        <v>394</v>
      </c>
      <c r="I451" s="1429"/>
      <c r="J451" s="1429"/>
      <c r="K451" s="1429"/>
      <c r="L451" s="1429"/>
      <c r="M451" s="1429"/>
      <c r="N451" s="1429"/>
      <c r="O451" s="1429"/>
      <c r="P451" s="1429"/>
      <c r="Q451" s="1429"/>
      <c r="R451" s="1429"/>
      <c r="S451" s="1429"/>
      <c r="T451" s="1429"/>
      <c r="U451" s="1429"/>
      <c r="V451" s="1429"/>
      <c r="W451" s="1429"/>
      <c r="X451" s="1429"/>
      <c r="Y451" s="1429"/>
      <c r="Z451" s="1570"/>
      <c r="AA451" s="2094"/>
      <c r="AB451" s="1687"/>
      <c r="AC451" s="1687"/>
      <c r="AD451" s="1688"/>
      <c r="AE451" s="926"/>
      <c r="AF451" s="314"/>
      <c r="AG451" s="314"/>
      <c r="AI451" s="66"/>
    </row>
    <row r="452" spans="1:35" ht="15" customHeight="1">
      <c r="A452" s="1614"/>
      <c r="B452" s="1603"/>
      <c r="C452" s="1603"/>
      <c r="D452" s="1603"/>
      <c r="E452" s="1603"/>
      <c r="F452" s="1837" t="s">
        <v>288</v>
      </c>
      <c r="G452" s="1838"/>
      <c r="H452" s="1838" t="s">
        <v>314</v>
      </c>
      <c r="I452" s="1838"/>
      <c r="J452" s="1838"/>
      <c r="K452" s="1838"/>
      <c r="L452" s="1838"/>
      <c r="M452" s="1838"/>
      <c r="N452" s="1838"/>
      <c r="O452" s="1838"/>
      <c r="P452" s="1838"/>
      <c r="Q452" s="1838"/>
      <c r="R452" s="1838"/>
      <c r="S452" s="1838"/>
      <c r="T452" s="1838"/>
      <c r="U452" s="1838"/>
      <c r="V452" s="1838"/>
      <c r="W452" s="1838"/>
      <c r="X452" s="1838"/>
      <c r="Y452" s="1838"/>
      <c r="Z452" s="1839"/>
      <c r="AA452" s="1837" t="str">
        <f>IF(AI73,【様式５】職員数算出表!O79,"")</f>
        <v/>
      </c>
      <c r="AB452" s="1838"/>
      <c r="AC452" s="1838"/>
      <c r="AD452" s="1839"/>
      <c r="AE452" s="926"/>
      <c r="AF452" s="314"/>
      <c r="AG452" s="314"/>
      <c r="AI452" s="66"/>
    </row>
    <row r="453" spans="1:35" ht="24.95" customHeight="1">
      <c r="A453" s="1615"/>
      <c r="B453" s="1580"/>
      <c r="C453" s="1580"/>
      <c r="D453" s="1580"/>
      <c r="E453" s="1580"/>
      <c r="F453" s="680"/>
      <c r="G453" s="681"/>
      <c r="H453" s="1429" t="s">
        <v>1227</v>
      </c>
      <c r="I453" s="1429"/>
      <c r="J453" s="1429"/>
      <c r="K453" s="1429"/>
      <c r="L453" s="1429"/>
      <c r="M453" s="1429"/>
      <c r="N453" s="1429"/>
      <c r="O453" s="1429"/>
      <c r="P453" s="1429"/>
      <c r="Q453" s="1429"/>
      <c r="R453" s="1429"/>
      <c r="S453" s="1429"/>
      <c r="T453" s="1429"/>
      <c r="U453" s="1429"/>
      <c r="V453" s="1429"/>
      <c r="W453" s="1429"/>
      <c r="X453" s="1429"/>
      <c r="Y453" s="1429"/>
      <c r="Z453" s="1570"/>
      <c r="AA453" s="1540"/>
      <c r="AB453" s="1541"/>
      <c r="AC453" s="1541"/>
      <c r="AD453" s="1406"/>
      <c r="AE453" s="926"/>
      <c r="AF453" s="314"/>
      <c r="AG453" s="314"/>
      <c r="AI453" s="66"/>
    </row>
    <row r="454" spans="1:35" ht="15" customHeight="1">
      <c r="A454" s="1665" t="s">
        <v>51</v>
      </c>
      <c r="B454" s="1756"/>
      <c r="C454" s="1756"/>
      <c r="D454" s="1756"/>
      <c r="E454" s="1629"/>
      <c r="F454" s="2030" t="s">
        <v>469</v>
      </c>
      <c r="G454" s="1515"/>
      <c r="H454" s="1515"/>
      <c r="I454" s="1515"/>
      <c r="J454" s="1515"/>
      <c r="K454" s="1515"/>
      <c r="L454" s="1515"/>
      <c r="M454" s="1515"/>
      <c r="N454" s="1515"/>
      <c r="O454" s="1515"/>
      <c r="P454" s="1515"/>
      <c r="Q454" s="1515"/>
      <c r="R454" s="1515"/>
      <c r="S454" s="1515"/>
      <c r="T454" s="1515"/>
      <c r="U454" s="1515"/>
      <c r="V454" s="1515"/>
      <c r="W454" s="1515"/>
      <c r="X454" s="1515"/>
      <c r="Y454" s="1515"/>
      <c r="Z454" s="1515"/>
      <c r="AA454" s="1515"/>
      <c r="AB454" s="1515"/>
      <c r="AC454" s="1515"/>
      <c r="AD454" s="1462"/>
      <c r="AE454" s="926"/>
      <c r="AF454" s="314"/>
      <c r="AG454" s="314"/>
      <c r="AI454" s="66"/>
    </row>
    <row r="455" spans="1:35" ht="15" customHeight="1">
      <c r="A455" s="1411"/>
      <c r="B455" s="1412"/>
      <c r="C455" s="1412"/>
      <c r="D455" s="1412"/>
      <c r="E455" s="1439"/>
      <c r="F455" s="1400" t="s">
        <v>1362</v>
      </c>
      <c r="G455" s="1401"/>
      <c r="H455" s="1401"/>
      <c r="I455" s="1401"/>
      <c r="J455" s="1401"/>
      <c r="K455" s="1401"/>
      <c r="L455" s="1401"/>
      <c r="M455" s="1401"/>
      <c r="N455" s="1401"/>
      <c r="O455" s="1401"/>
      <c r="P455" s="1401"/>
      <c r="Q455" s="1401"/>
      <c r="R455" s="1401"/>
      <c r="S455" s="1401"/>
      <c r="T455" s="1401"/>
      <c r="U455" s="1401"/>
      <c r="V455" s="1401"/>
      <c r="W455" s="1401"/>
      <c r="X455" s="1401"/>
      <c r="Y455" s="1401"/>
      <c r="Z455" s="1401"/>
      <c r="AA455" s="1401"/>
      <c r="AB455" s="1401"/>
      <c r="AC455" s="1401"/>
      <c r="AD455" s="1402"/>
      <c r="AE455" s="314"/>
      <c r="AF455" s="314"/>
      <c r="AG455" s="314"/>
      <c r="AI455" s="66"/>
    </row>
    <row r="456" spans="1:35" ht="15" customHeight="1">
      <c r="A456" s="1579" t="s">
        <v>1226</v>
      </c>
      <c r="B456" s="1579"/>
      <c r="C456" s="1579"/>
      <c r="D456" s="1579"/>
      <c r="E456" s="1579"/>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579"/>
      <c r="AG456" s="1579"/>
      <c r="AI456" s="66"/>
    </row>
    <row r="457" spans="1:35" ht="15" customHeight="1" thickBot="1">
      <c r="A457" s="921"/>
      <c r="B457" s="921"/>
      <c r="C457" s="921"/>
      <c r="D457" s="921"/>
      <c r="E457" s="921"/>
      <c r="F457" s="926"/>
      <c r="G457" s="926"/>
      <c r="H457" s="926"/>
      <c r="I457" s="926"/>
      <c r="J457" s="926"/>
      <c r="K457" s="926"/>
      <c r="L457" s="926"/>
      <c r="M457" s="926"/>
      <c r="N457" s="926"/>
      <c r="O457" s="926"/>
      <c r="P457" s="926"/>
      <c r="Q457" s="926"/>
      <c r="R457" s="926"/>
      <c r="S457" s="926"/>
      <c r="T457" s="926"/>
      <c r="U457" s="926"/>
      <c r="V457" s="926"/>
      <c r="W457" s="926"/>
      <c r="X457" s="926"/>
      <c r="Y457" s="926"/>
      <c r="Z457" s="926"/>
      <c r="AA457" s="926"/>
      <c r="AB457" s="926"/>
      <c r="AC457" s="926"/>
      <c r="AD457" s="926"/>
      <c r="AE457" s="314"/>
      <c r="AF457" s="314"/>
      <c r="AG457" s="314"/>
    </row>
    <row r="458" spans="1:35" ht="15" customHeight="1" thickBot="1">
      <c r="A458" s="1533" t="s">
        <v>1628</v>
      </c>
      <c r="B458" s="1533"/>
      <c r="C458" s="1533"/>
      <c r="D458" s="1533"/>
      <c r="E458" s="1533"/>
      <c r="F458" s="1533"/>
      <c r="G458" s="1533"/>
      <c r="H458" s="1533"/>
      <c r="I458" s="1533"/>
      <c r="J458" s="1496" t="str">
        <f>IFERROR(IF(AND(AI459,AI461,AI463,AI464),"○","×"),"エラー")</f>
        <v>×</v>
      </c>
      <c r="K458" s="1497"/>
      <c r="L458" s="1497"/>
      <c r="M458" s="1497"/>
      <c r="N458" s="1498"/>
      <c r="O458" s="1538" t="s">
        <v>268</v>
      </c>
      <c r="P458" s="1539"/>
      <c r="Q458" s="1539"/>
      <c r="R458" s="926"/>
      <c r="S458" s="926"/>
      <c r="T458" s="926"/>
      <c r="U458" s="926"/>
      <c r="V458" s="314"/>
      <c r="W458" s="314"/>
      <c r="X458" s="314"/>
      <c r="Y458" s="314"/>
      <c r="Z458" s="314"/>
      <c r="AA458" s="314"/>
      <c r="AB458" s="314"/>
      <c r="AC458" s="314"/>
      <c r="AD458" s="314"/>
      <c r="AE458" s="926"/>
      <c r="AF458" s="314"/>
      <c r="AG458" s="314"/>
      <c r="AH458" s="73"/>
    </row>
    <row r="459" spans="1:35" ht="15" customHeight="1">
      <c r="A459" s="1466" t="s">
        <v>121</v>
      </c>
      <c r="B459" s="1466"/>
      <c r="C459" s="1466"/>
      <c r="D459" s="1466"/>
      <c r="E459" s="1466"/>
      <c r="F459" s="1635"/>
      <c r="G459" s="1635"/>
      <c r="H459" s="1635"/>
      <c r="I459" s="1635"/>
      <c r="J459" s="1636"/>
      <c r="K459" s="1636"/>
      <c r="L459" s="314"/>
      <c r="M459" s="314"/>
      <c r="N459" s="314"/>
      <c r="O459" s="314"/>
      <c r="P459" s="314"/>
      <c r="Q459" s="314"/>
      <c r="R459" s="314"/>
      <c r="S459" s="314"/>
      <c r="T459" s="314"/>
      <c r="U459" s="314"/>
      <c r="V459" s="314"/>
      <c r="W459" s="314"/>
      <c r="X459" s="314"/>
      <c r="Y459" s="314"/>
      <c r="Z459" s="314"/>
      <c r="AA459" s="314"/>
      <c r="AB459" s="314"/>
      <c r="AC459" s="314"/>
      <c r="AD459" s="314"/>
      <c r="AE459" s="314"/>
      <c r="AF459" s="314"/>
      <c r="AG459" s="314"/>
      <c r="AH459" s="73"/>
      <c r="AI459" s="134" t="b">
        <f>F459="申請する"</f>
        <v>0</v>
      </c>
    </row>
    <row r="460" spans="1:35" ht="15" customHeight="1">
      <c r="A460" s="1765" t="s">
        <v>1051</v>
      </c>
      <c r="B460" s="1682"/>
      <c r="C460" s="1682"/>
      <c r="D460" s="1682"/>
      <c r="E460" s="1682"/>
      <c r="F460" s="1528" t="s">
        <v>103</v>
      </c>
      <c r="G460" s="1466"/>
      <c r="H460" s="1466"/>
      <c r="I460" s="1466"/>
      <c r="J460" s="1466"/>
      <c r="K460" s="1466"/>
      <c r="L460" s="1466"/>
      <c r="M460" s="1466"/>
      <c r="N460" s="1466"/>
      <c r="O460" s="1466"/>
      <c r="P460" s="1466"/>
      <c r="Q460" s="1466"/>
      <c r="R460" s="1466"/>
      <c r="S460" s="1466"/>
      <c r="T460" s="1466"/>
      <c r="U460" s="1466"/>
      <c r="V460" s="1466"/>
      <c r="W460" s="1466"/>
      <c r="X460" s="1466"/>
      <c r="Y460" s="1466"/>
      <c r="Z460" s="1466"/>
      <c r="AA460" s="1466" t="s">
        <v>269</v>
      </c>
      <c r="AB460" s="1466"/>
      <c r="AC460" s="1466"/>
      <c r="AD460" s="1466"/>
      <c r="AE460" s="664"/>
      <c r="AF460" s="664"/>
      <c r="AG460" s="664"/>
      <c r="AH460" s="73"/>
      <c r="AI460" s="77"/>
    </row>
    <row r="461" spans="1:35" ht="15" customHeight="1">
      <c r="A461" s="1614"/>
      <c r="B461" s="1603"/>
      <c r="C461" s="1603"/>
      <c r="D461" s="1603"/>
      <c r="E461" s="1766"/>
      <c r="F461" s="936">
        <v>1</v>
      </c>
      <c r="G461" s="1754" t="s">
        <v>315</v>
      </c>
      <c r="H461" s="1754"/>
      <c r="I461" s="1754"/>
      <c r="J461" s="1754"/>
      <c r="K461" s="1754"/>
      <c r="L461" s="1754"/>
      <c r="M461" s="1754"/>
      <c r="N461" s="1754"/>
      <c r="O461" s="1754"/>
      <c r="P461" s="1754"/>
      <c r="Q461" s="1754"/>
      <c r="R461" s="1754"/>
      <c r="S461" s="1754"/>
      <c r="T461" s="1754"/>
      <c r="U461" s="1754"/>
      <c r="V461" s="1754"/>
      <c r="W461" s="1754"/>
      <c r="X461" s="1754"/>
      <c r="Y461" s="1754"/>
      <c r="Z461" s="1755"/>
      <c r="AA461" s="1665" t="str">
        <f>IF(M462&gt;=271,"○","×")</f>
        <v>×</v>
      </c>
      <c r="AB461" s="1756"/>
      <c r="AC461" s="1756"/>
      <c r="AD461" s="1629"/>
      <c r="AE461" s="664"/>
      <c r="AF461" s="664"/>
      <c r="AG461" s="664"/>
      <c r="AI461" s="2039" t="b">
        <f>AA461="○"</f>
        <v>0</v>
      </c>
    </row>
    <row r="462" spans="1:35" ht="15" customHeight="1">
      <c r="A462" s="1614"/>
      <c r="B462" s="1603"/>
      <c r="C462" s="1603"/>
      <c r="D462" s="1603"/>
      <c r="E462" s="1766"/>
      <c r="F462" s="1784" t="s">
        <v>286</v>
      </c>
      <c r="G462" s="1785"/>
      <c r="H462" s="1785"/>
      <c r="I462" s="1785"/>
      <c r="J462" s="1785"/>
      <c r="K462" s="1785"/>
      <c r="L462" s="1786"/>
      <c r="M462" s="1851">
        <f>SUM(H14,M14,M15)</f>
        <v>0</v>
      </c>
      <c r="N462" s="1852"/>
      <c r="O462" s="1852"/>
      <c r="P462" s="1852"/>
      <c r="Q462" s="1852"/>
      <c r="R462" s="1852"/>
      <c r="S462" s="1852"/>
      <c r="T462" s="1852"/>
      <c r="U462" s="1852"/>
      <c r="V462" s="1852"/>
      <c r="W462" s="1852"/>
      <c r="X462" s="1852"/>
      <c r="Y462" s="1852"/>
      <c r="Z462" s="1853"/>
      <c r="AA462" s="1411"/>
      <c r="AB462" s="1412"/>
      <c r="AC462" s="1412"/>
      <c r="AD462" s="1439"/>
      <c r="AE462" s="664"/>
      <c r="AF462" s="664"/>
      <c r="AG462" s="664"/>
      <c r="AI462" s="2039"/>
    </row>
    <row r="463" spans="1:35" ht="15" customHeight="1">
      <c r="A463" s="1614"/>
      <c r="B463" s="1603"/>
      <c r="C463" s="1603"/>
      <c r="D463" s="1603"/>
      <c r="E463" s="1766"/>
      <c r="F463" s="934">
        <v>2</v>
      </c>
      <c r="G463" s="1606" t="s">
        <v>627</v>
      </c>
      <c r="H463" s="1606"/>
      <c r="I463" s="1606"/>
      <c r="J463" s="1606"/>
      <c r="K463" s="1606"/>
      <c r="L463" s="1606"/>
      <c r="M463" s="1606"/>
      <c r="N463" s="1606"/>
      <c r="O463" s="1606"/>
      <c r="P463" s="1606"/>
      <c r="Q463" s="1606"/>
      <c r="R463" s="1606"/>
      <c r="S463" s="1606"/>
      <c r="T463" s="1606"/>
      <c r="U463" s="1606"/>
      <c r="V463" s="1606"/>
      <c r="W463" s="1606"/>
      <c r="X463" s="1606"/>
      <c r="Y463" s="1606"/>
      <c r="Z463" s="1686"/>
      <c r="AA463" s="1483" t="str">
        <f>【様式５】職員数算出表!O74</f>
        <v>-</v>
      </c>
      <c r="AB463" s="1484"/>
      <c r="AC463" s="1484"/>
      <c r="AD463" s="1404"/>
      <c r="AE463" s="926"/>
      <c r="AF463" s="314"/>
      <c r="AG463" s="314"/>
      <c r="AI463" s="937" t="b">
        <f>AA463="○"</f>
        <v>0</v>
      </c>
    </row>
    <row r="464" spans="1:35" ht="15" customHeight="1">
      <c r="A464" s="1614"/>
      <c r="B464" s="1603"/>
      <c r="C464" s="1603"/>
      <c r="D464" s="1603"/>
      <c r="E464" s="1766"/>
      <c r="F464" s="940">
        <v>3</v>
      </c>
      <c r="G464" s="2066" t="str">
        <f>"有効な資格（"&amp;IF(OR(R12="地裁",AND(R12="幼保",AO4="有")),"幼稚園教諭免許又は保育士資格",IF(R12="保認","保育士資格",IF(R12="幼認","幼稚園教諭免許","幼稚園教諭免許＋保育士資格")))&amp;")を有している"</f>
        <v>有効な資格（幼稚園教諭免許又は保育士資格)を有している</v>
      </c>
      <c r="H464" s="2066"/>
      <c r="I464" s="2066"/>
      <c r="J464" s="2066"/>
      <c r="K464" s="2066"/>
      <c r="L464" s="2066"/>
      <c r="M464" s="2066"/>
      <c r="N464" s="2066"/>
      <c r="O464" s="2066"/>
      <c r="P464" s="2066"/>
      <c r="Q464" s="2066"/>
      <c r="R464" s="2066"/>
      <c r="S464" s="2066"/>
      <c r="T464" s="2066"/>
      <c r="U464" s="2066"/>
      <c r="V464" s="2066"/>
      <c r="W464" s="2066"/>
      <c r="X464" s="2066"/>
      <c r="Y464" s="2066"/>
      <c r="Z464" s="2067"/>
      <c r="AA464" s="1635"/>
      <c r="AB464" s="1635"/>
      <c r="AC464" s="1635"/>
      <c r="AD464" s="1635"/>
      <c r="AE464" s="664"/>
      <c r="AF464" s="664"/>
      <c r="AG464" s="664"/>
      <c r="AH464" s="73"/>
      <c r="AI464" s="134" t="b">
        <f>AA464="○"</f>
        <v>0</v>
      </c>
    </row>
    <row r="465" spans="1:62" ht="15" customHeight="1">
      <c r="A465" s="1567" t="s">
        <v>51</v>
      </c>
      <c r="B465" s="1567"/>
      <c r="C465" s="1567"/>
      <c r="D465" s="1567"/>
      <c r="E465" s="1567"/>
      <c r="F465" s="1684" t="s">
        <v>475</v>
      </c>
      <c r="G465" s="1685"/>
      <c r="H465" s="1685"/>
      <c r="I465" s="1685"/>
      <c r="J465" s="1685"/>
      <c r="K465" s="1685"/>
      <c r="L465" s="1685"/>
      <c r="M465" s="1685"/>
      <c r="N465" s="1685"/>
      <c r="O465" s="1685"/>
      <c r="P465" s="1685"/>
      <c r="Q465" s="1685"/>
      <c r="R465" s="1685"/>
      <c r="S465" s="1685"/>
      <c r="T465" s="1685"/>
      <c r="U465" s="1685"/>
      <c r="V465" s="1685"/>
      <c r="W465" s="1685"/>
      <c r="X465" s="1685"/>
      <c r="Y465" s="1685"/>
      <c r="Z465" s="1685"/>
      <c r="AA465" s="1685"/>
      <c r="AB465" s="1685"/>
      <c r="AC465" s="1685"/>
      <c r="AD465" s="1686"/>
      <c r="AE465" s="314"/>
      <c r="AF465" s="314"/>
      <c r="AG465" s="314"/>
    </row>
    <row r="466" spans="1:62" ht="15" customHeight="1">
      <c r="A466" s="1567"/>
      <c r="B466" s="1567"/>
      <c r="C466" s="1567"/>
      <c r="D466" s="1567"/>
      <c r="E466" s="1567"/>
      <c r="F466" s="1925" t="str">
        <f>"②　"&amp;IF(OR(R12="地裁",AND(R12="幼保",AO4="有")),"幼稚園教諭免許又は保育士資格",IF(R12="保認","保育士資格",IF(R12="幼認","幼稚園教諭免許","幼稚園教諭免許＋保育士資格")))&amp;"の写し"</f>
        <v>②　幼稚園教諭免許又は保育士資格の写し</v>
      </c>
      <c r="G466" s="1926"/>
      <c r="H466" s="1926"/>
      <c r="I466" s="1926"/>
      <c r="J466" s="1926"/>
      <c r="K466" s="1926"/>
      <c r="L466" s="1926"/>
      <c r="M466" s="1926"/>
      <c r="N466" s="1926"/>
      <c r="O466" s="1926"/>
      <c r="P466" s="1926"/>
      <c r="Q466" s="1926"/>
      <c r="R466" s="1926"/>
      <c r="S466" s="1926"/>
      <c r="T466" s="1926"/>
      <c r="U466" s="1926"/>
      <c r="V466" s="1926"/>
      <c r="W466" s="1926"/>
      <c r="X466" s="1926"/>
      <c r="Y466" s="1926"/>
      <c r="Z466" s="1926"/>
      <c r="AA466" s="1926"/>
      <c r="AB466" s="1926"/>
      <c r="AC466" s="1926"/>
      <c r="AD466" s="1927"/>
      <c r="AE466" s="664"/>
      <c r="AF466" s="664"/>
      <c r="AG466" s="664"/>
      <c r="AH466" s="73"/>
      <c r="AI466" s="77"/>
    </row>
    <row r="467" spans="1:62" s="73" customFormat="1" ht="15" customHeight="1">
      <c r="A467" s="144" t="s">
        <v>562</v>
      </c>
      <c r="B467" s="676"/>
      <c r="C467" s="676"/>
      <c r="D467" s="676"/>
      <c r="E467" s="676"/>
      <c r="F467" s="518"/>
      <c r="G467" s="518"/>
      <c r="H467" s="518"/>
      <c r="I467" s="518"/>
      <c r="J467" s="518"/>
      <c r="K467" s="518"/>
      <c r="L467" s="518"/>
      <c r="M467" s="518"/>
      <c r="N467" s="518"/>
      <c r="O467" s="518"/>
      <c r="P467" s="518"/>
      <c r="Q467" s="518"/>
      <c r="R467" s="518"/>
      <c r="S467" s="518"/>
      <c r="T467" s="518"/>
      <c r="U467" s="518"/>
      <c r="V467" s="518"/>
      <c r="W467" s="518"/>
      <c r="X467" s="518"/>
      <c r="Y467" s="518"/>
      <c r="Z467" s="518"/>
      <c r="AA467" s="518"/>
      <c r="AB467" s="518"/>
      <c r="AC467" s="518"/>
      <c r="AD467" s="518"/>
      <c r="AE467" s="664"/>
      <c r="AF467" s="664"/>
      <c r="AG467" s="664"/>
      <c r="AI467" s="77"/>
      <c r="AJ467" s="65"/>
      <c r="AK467" s="65"/>
      <c r="AL467" s="65"/>
      <c r="AM467" s="65"/>
      <c r="BB467" s="65"/>
      <c r="BC467" s="65"/>
      <c r="BD467" s="65"/>
      <c r="BE467" s="65"/>
      <c r="BF467" s="65"/>
      <c r="BG467" s="65"/>
      <c r="BH467" s="65"/>
      <c r="BI467" s="65"/>
      <c r="BJ467" s="65"/>
    </row>
    <row r="468" spans="1:62" ht="15" customHeight="1" thickBot="1">
      <c r="A468" s="921"/>
      <c r="B468" s="921"/>
      <c r="C468" s="921"/>
      <c r="D468" s="921"/>
      <c r="E468" s="921"/>
      <c r="F468" s="923"/>
      <c r="G468" s="923"/>
      <c r="H468" s="923"/>
      <c r="I468" s="923"/>
      <c r="J468" s="923"/>
      <c r="K468" s="923"/>
      <c r="L468" s="923"/>
      <c r="M468" s="923"/>
      <c r="N468" s="923"/>
      <c r="O468" s="923"/>
      <c r="P468" s="923"/>
      <c r="Q468" s="923"/>
      <c r="R468" s="923"/>
      <c r="S468" s="923"/>
      <c r="T468" s="923"/>
      <c r="U468" s="923"/>
      <c r="V468" s="923"/>
      <c r="W468" s="923"/>
      <c r="X468" s="923"/>
      <c r="Y468" s="923"/>
      <c r="Z468" s="923"/>
      <c r="AA468" s="923"/>
      <c r="AB468" s="923"/>
      <c r="AC468" s="923"/>
      <c r="AD468" s="923"/>
      <c r="AE468" s="314"/>
      <c r="AF468" s="314"/>
      <c r="AG468" s="314"/>
    </row>
    <row r="469" spans="1:62" ht="15" customHeight="1" thickBot="1">
      <c r="A469" s="699" t="s">
        <v>1629</v>
      </c>
      <c r="B469" s="926"/>
      <c r="C469" s="926"/>
      <c r="D469" s="926"/>
      <c r="E469" s="926"/>
      <c r="F469" s="926"/>
      <c r="G469" s="926"/>
      <c r="H469" s="926"/>
      <c r="I469" s="926"/>
      <c r="J469" s="1496" t="str">
        <f>IFERROR(IF(AND(AI470,AI472,AI474,AI475),"○","×"),"エラー")</f>
        <v>×</v>
      </c>
      <c r="K469" s="1497"/>
      <c r="L469" s="1497"/>
      <c r="M469" s="1497"/>
      <c r="N469" s="1498"/>
      <c r="O469" s="1538" t="s">
        <v>268</v>
      </c>
      <c r="P469" s="1539"/>
      <c r="Q469" s="1539"/>
      <c r="R469" s="926"/>
      <c r="S469" s="926"/>
      <c r="T469" s="926"/>
      <c r="U469" s="926"/>
      <c r="V469" s="314"/>
      <c r="W469" s="314"/>
      <c r="X469" s="314"/>
      <c r="Y469" s="314"/>
      <c r="Z469" s="314"/>
      <c r="AA469" s="314"/>
      <c r="AB469" s="314"/>
      <c r="AC469" s="314"/>
      <c r="AD469" s="314"/>
      <c r="AE469" s="926"/>
      <c r="AF469" s="314"/>
      <c r="AG469" s="314"/>
      <c r="AH469" s="73"/>
    </row>
    <row r="470" spans="1:62" ht="15" customHeight="1">
      <c r="A470" s="1466" t="s">
        <v>121</v>
      </c>
      <c r="B470" s="1466"/>
      <c r="C470" s="1466"/>
      <c r="D470" s="1466"/>
      <c r="E470" s="1466"/>
      <c r="F470" s="1635"/>
      <c r="G470" s="1635"/>
      <c r="H470" s="1635"/>
      <c r="I470" s="1635"/>
      <c r="J470" s="1636"/>
      <c r="K470" s="1636"/>
      <c r="L470" s="314"/>
      <c r="M470" s="314"/>
      <c r="N470" s="314"/>
      <c r="O470" s="314"/>
      <c r="P470" s="314"/>
      <c r="Q470" s="314"/>
      <c r="R470" s="314"/>
      <c r="S470" s="314"/>
      <c r="T470" s="314"/>
      <c r="U470" s="314"/>
      <c r="V470" s="314"/>
      <c r="W470" s="314"/>
      <c r="X470" s="314"/>
      <c r="Y470" s="314"/>
      <c r="Z470" s="314"/>
      <c r="AA470" s="314"/>
      <c r="AB470" s="314"/>
      <c r="AC470" s="314"/>
      <c r="AD470" s="314"/>
      <c r="AE470" s="314"/>
      <c r="AF470" s="314"/>
      <c r="AG470" s="314"/>
      <c r="AH470" s="73"/>
      <c r="AI470" s="134" t="b">
        <f>F470="申請する"</f>
        <v>0</v>
      </c>
    </row>
    <row r="471" spans="1:62" ht="15" customHeight="1">
      <c r="A471" s="1765" t="s">
        <v>316</v>
      </c>
      <c r="B471" s="1682"/>
      <c r="C471" s="1682"/>
      <c r="D471" s="1682"/>
      <c r="E471" s="1682"/>
      <c r="F471" s="1528" t="s">
        <v>103</v>
      </c>
      <c r="G471" s="1466"/>
      <c r="H471" s="1466"/>
      <c r="I471" s="1466"/>
      <c r="J471" s="1466"/>
      <c r="K471" s="1466"/>
      <c r="L471" s="1466"/>
      <c r="M471" s="1466"/>
      <c r="N471" s="1466"/>
      <c r="O471" s="1466"/>
      <c r="P471" s="1466"/>
      <c r="Q471" s="1466"/>
      <c r="R471" s="1466"/>
      <c r="S471" s="1466"/>
      <c r="T471" s="1466"/>
      <c r="U471" s="1466"/>
      <c r="V471" s="1466"/>
      <c r="W471" s="1466"/>
      <c r="X471" s="1466"/>
      <c r="Y471" s="1466"/>
      <c r="Z471" s="1466"/>
      <c r="AA471" s="1466" t="s">
        <v>269</v>
      </c>
      <c r="AB471" s="1466"/>
      <c r="AC471" s="1466"/>
      <c r="AD471" s="1466"/>
      <c r="AE471" s="664"/>
      <c r="AF471" s="664"/>
      <c r="AG471" s="664"/>
      <c r="AH471" s="73"/>
      <c r="AI471" s="77"/>
    </row>
    <row r="472" spans="1:62" ht="15" customHeight="1">
      <c r="A472" s="1614"/>
      <c r="B472" s="1603"/>
      <c r="C472" s="1603"/>
      <c r="D472" s="1603"/>
      <c r="E472" s="1766"/>
      <c r="F472" s="936">
        <v>1</v>
      </c>
      <c r="G472" s="1754" t="s">
        <v>560</v>
      </c>
      <c r="H472" s="1754"/>
      <c r="I472" s="1754"/>
      <c r="J472" s="1754"/>
      <c r="K472" s="1754"/>
      <c r="L472" s="1754"/>
      <c r="M472" s="1754"/>
      <c r="N472" s="1754"/>
      <c r="O472" s="1754"/>
      <c r="P472" s="1754"/>
      <c r="Q472" s="1754"/>
      <c r="R472" s="1754"/>
      <c r="S472" s="1754"/>
      <c r="T472" s="1754"/>
      <c r="U472" s="1754"/>
      <c r="V472" s="1754"/>
      <c r="W472" s="1754"/>
      <c r="X472" s="1754"/>
      <c r="Y472" s="1754"/>
      <c r="Z472" s="1755"/>
      <c r="AA472" s="1665" t="str">
        <f>IF(M473&gt;=271,"○","×")</f>
        <v>×</v>
      </c>
      <c r="AB472" s="1756"/>
      <c r="AC472" s="1756"/>
      <c r="AD472" s="1629"/>
      <c r="AE472" s="664"/>
      <c r="AF472" s="664"/>
      <c r="AG472" s="664"/>
      <c r="AH472" s="73"/>
      <c r="AI472" s="2039" t="b">
        <f>AA472="○"</f>
        <v>0</v>
      </c>
    </row>
    <row r="473" spans="1:62" ht="15" customHeight="1">
      <c r="A473" s="1614"/>
      <c r="B473" s="1603"/>
      <c r="C473" s="1603"/>
      <c r="D473" s="1603"/>
      <c r="E473" s="1766"/>
      <c r="F473" s="1784" t="s">
        <v>286</v>
      </c>
      <c r="G473" s="1785"/>
      <c r="H473" s="1785"/>
      <c r="I473" s="1785"/>
      <c r="J473" s="1785"/>
      <c r="K473" s="1785"/>
      <c r="L473" s="1786"/>
      <c r="M473" s="1851">
        <f>SUM(W14:X15)</f>
        <v>0</v>
      </c>
      <c r="N473" s="1852"/>
      <c r="O473" s="1852"/>
      <c r="P473" s="1852"/>
      <c r="Q473" s="1852"/>
      <c r="R473" s="1852"/>
      <c r="S473" s="1852"/>
      <c r="T473" s="1852"/>
      <c r="U473" s="1852"/>
      <c r="V473" s="1852"/>
      <c r="W473" s="1852"/>
      <c r="X473" s="1852"/>
      <c r="Y473" s="1852"/>
      <c r="Z473" s="1853"/>
      <c r="AA473" s="1411"/>
      <c r="AB473" s="1412"/>
      <c r="AC473" s="1412"/>
      <c r="AD473" s="1439"/>
      <c r="AE473" s="664"/>
      <c r="AF473" s="664"/>
      <c r="AG473" s="664"/>
      <c r="AH473" s="73"/>
      <c r="AI473" s="2039"/>
    </row>
    <row r="474" spans="1:62" ht="15" customHeight="1">
      <c r="A474" s="1614"/>
      <c r="B474" s="1603"/>
      <c r="C474" s="1603"/>
      <c r="D474" s="1603"/>
      <c r="E474" s="1766"/>
      <c r="F474" s="936">
        <v>2</v>
      </c>
      <c r="G474" s="1685" t="s">
        <v>559</v>
      </c>
      <c r="H474" s="1685"/>
      <c r="I474" s="1685"/>
      <c r="J474" s="1685"/>
      <c r="K474" s="1685"/>
      <c r="L474" s="1685"/>
      <c r="M474" s="1685"/>
      <c r="N474" s="1685"/>
      <c r="O474" s="1685"/>
      <c r="P474" s="1685"/>
      <c r="Q474" s="1685"/>
      <c r="R474" s="1685"/>
      <c r="S474" s="1685"/>
      <c r="T474" s="1685"/>
      <c r="U474" s="1685"/>
      <c r="V474" s="1685"/>
      <c r="W474" s="1685"/>
      <c r="X474" s="1685"/>
      <c r="Y474" s="1685"/>
      <c r="Z474" s="1686"/>
      <c r="AA474" s="1681" t="str">
        <f>IF(J444="","×",J444)</f>
        <v>×</v>
      </c>
      <c r="AB474" s="1682"/>
      <c r="AC474" s="1682"/>
      <c r="AD474" s="1683"/>
      <c r="AE474" s="664"/>
      <c r="AF474" s="664"/>
      <c r="AG474" s="664"/>
      <c r="AI474" s="937" t="b">
        <f>AA474="○"</f>
        <v>0</v>
      </c>
      <c r="BB474" s="73"/>
      <c r="BC474" s="73"/>
      <c r="BD474" s="73"/>
      <c r="BE474" s="73"/>
      <c r="BF474" s="73"/>
      <c r="BG474" s="73"/>
      <c r="BH474" s="73"/>
      <c r="BI474" s="73"/>
      <c r="BJ474" s="73"/>
    </row>
    <row r="475" spans="1:62" ht="15" customHeight="1">
      <c r="A475" s="1614"/>
      <c r="B475" s="1603"/>
      <c r="C475" s="1603"/>
      <c r="D475" s="1603"/>
      <c r="E475" s="1766"/>
      <c r="F475" s="936">
        <v>3</v>
      </c>
      <c r="G475" s="1685" t="s">
        <v>558</v>
      </c>
      <c r="H475" s="1685"/>
      <c r="I475" s="1685"/>
      <c r="J475" s="1685"/>
      <c r="K475" s="1685"/>
      <c r="L475" s="1685"/>
      <c r="M475" s="1685"/>
      <c r="N475" s="1685"/>
      <c r="O475" s="1685"/>
      <c r="P475" s="1685"/>
      <c r="Q475" s="1685"/>
      <c r="R475" s="1685"/>
      <c r="S475" s="1685"/>
      <c r="T475" s="1685"/>
      <c r="U475" s="1685"/>
      <c r="V475" s="1685"/>
      <c r="W475" s="1685"/>
      <c r="X475" s="1685"/>
      <c r="Y475" s="1685"/>
      <c r="Z475" s="1686"/>
      <c r="AA475" s="1681" t="str">
        <f>【様式５】職員数算出表!O80</f>
        <v>-</v>
      </c>
      <c r="AB475" s="1682"/>
      <c r="AC475" s="1682"/>
      <c r="AD475" s="1683"/>
      <c r="AE475" s="664"/>
      <c r="AF475" s="664"/>
      <c r="AG475" s="664"/>
      <c r="AI475" s="937" t="b">
        <f>AA475="○"</f>
        <v>0</v>
      </c>
    </row>
    <row r="476" spans="1:62" ht="15" customHeight="1">
      <c r="A476" s="1665" t="s">
        <v>51</v>
      </c>
      <c r="B476" s="1756"/>
      <c r="C476" s="1756"/>
      <c r="D476" s="1756"/>
      <c r="E476" s="1629"/>
      <c r="F476" s="2030" t="s">
        <v>469</v>
      </c>
      <c r="G476" s="1515"/>
      <c r="H476" s="1515"/>
      <c r="I476" s="1515"/>
      <c r="J476" s="1515"/>
      <c r="K476" s="1515"/>
      <c r="L476" s="1515"/>
      <c r="M476" s="1515"/>
      <c r="N476" s="1515"/>
      <c r="O476" s="1515"/>
      <c r="P476" s="1515"/>
      <c r="Q476" s="1515"/>
      <c r="R476" s="1515"/>
      <c r="S476" s="1515"/>
      <c r="T476" s="1515"/>
      <c r="U476" s="1515"/>
      <c r="V476" s="1515"/>
      <c r="W476" s="1515"/>
      <c r="X476" s="1515"/>
      <c r="Y476" s="1515"/>
      <c r="Z476" s="1515"/>
      <c r="AA476" s="1515"/>
      <c r="AB476" s="1515"/>
      <c r="AC476" s="1515"/>
      <c r="AD476" s="1462"/>
      <c r="AE476" s="926"/>
      <c r="AF476" s="314"/>
      <c r="AG476" s="314"/>
      <c r="AI476" s="66"/>
    </row>
    <row r="477" spans="1:62" ht="15" customHeight="1">
      <c r="A477" s="1411"/>
      <c r="B477" s="1412"/>
      <c r="C477" s="1412"/>
      <c r="D477" s="1412"/>
      <c r="E477" s="1439"/>
      <c r="F477" s="1400" t="s">
        <v>1362</v>
      </c>
      <c r="G477" s="1401"/>
      <c r="H477" s="1401"/>
      <c r="I477" s="1401"/>
      <c r="J477" s="1401"/>
      <c r="K477" s="1401"/>
      <c r="L477" s="1401"/>
      <c r="M477" s="1401"/>
      <c r="N477" s="1401"/>
      <c r="O477" s="1401"/>
      <c r="P477" s="1401"/>
      <c r="Q477" s="1401"/>
      <c r="R477" s="1401"/>
      <c r="S477" s="1401"/>
      <c r="T477" s="1401"/>
      <c r="U477" s="1401"/>
      <c r="V477" s="1401"/>
      <c r="W477" s="1401"/>
      <c r="X477" s="1401"/>
      <c r="Y477" s="1401"/>
      <c r="Z477" s="1401"/>
      <c r="AA477" s="1401"/>
      <c r="AB477" s="1401"/>
      <c r="AC477" s="1401"/>
      <c r="AD477" s="1402"/>
      <c r="AE477" s="314"/>
      <c r="AF477" s="314"/>
      <c r="AG477" s="314"/>
      <c r="AI477" s="66"/>
    </row>
    <row r="478" spans="1:62" ht="15" customHeight="1" thickBot="1">
      <c r="A478" s="921"/>
      <c r="B478" s="921"/>
      <c r="C478" s="921"/>
      <c r="D478" s="921"/>
      <c r="E478" s="921"/>
      <c r="F478" s="923"/>
      <c r="G478" s="923"/>
      <c r="H478" s="923"/>
      <c r="I478" s="923"/>
      <c r="J478" s="923"/>
      <c r="K478" s="923"/>
      <c r="L478" s="923"/>
      <c r="M478" s="923"/>
      <c r="N478" s="923"/>
      <c r="O478" s="923"/>
      <c r="P478" s="923"/>
      <c r="Q478" s="923"/>
      <c r="R478" s="923"/>
      <c r="S478" s="923"/>
      <c r="T478" s="923"/>
      <c r="U478" s="923"/>
      <c r="V478" s="923"/>
      <c r="W478" s="923"/>
      <c r="X478" s="923"/>
      <c r="Y478" s="923"/>
      <c r="Z478" s="923"/>
      <c r="AA478" s="923"/>
      <c r="AB478" s="923"/>
      <c r="AC478" s="923"/>
      <c r="AD478" s="923"/>
      <c r="AE478" s="314"/>
      <c r="AF478" s="314"/>
      <c r="AG478" s="314"/>
    </row>
    <row r="479" spans="1:62" ht="15" customHeight="1" thickBot="1">
      <c r="A479" s="1442" t="s">
        <v>1630</v>
      </c>
      <c r="B479" s="1442"/>
      <c r="C479" s="1442"/>
      <c r="D479" s="1442"/>
      <c r="E479" s="1442"/>
      <c r="F479" s="1442"/>
      <c r="G479" s="1442"/>
      <c r="H479" s="1442"/>
      <c r="I479" s="1442"/>
      <c r="J479" s="1496" t="str">
        <f>IF(AND(AI480,AI482,AI483),AA483,"×")</f>
        <v>×</v>
      </c>
      <c r="K479" s="1497"/>
      <c r="L479" s="1497"/>
      <c r="M479" s="1497"/>
      <c r="N479" s="1498"/>
      <c r="O479" s="1538" t="s">
        <v>268</v>
      </c>
      <c r="P479" s="1539"/>
      <c r="Q479" s="1539"/>
      <c r="R479" s="314"/>
      <c r="S479" s="314"/>
      <c r="T479" s="314"/>
      <c r="U479" s="314"/>
      <c r="V479" s="314"/>
      <c r="W479" s="314"/>
      <c r="X479" s="314"/>
      <c r="Y479" s="314"/>
      <c r="Z479" s="314"/>
      <c r="AA479" s="314"/>
      <c r="AB479" s="314"/>
      <c r="AC479" s="314"/>
      <c r="AD479" s="314"/>
      <c r="AE479" s="314"/>
      <c r="AF479" s="314"/>
      <c r="AG479" s="314"/>
      <c r="AH479" s="73"/>
    </row>
    <row r="480" spans="1:62" ht="15" customHeight="1">
      <c r="A480" s="1466" t="s">
        <v>121</v>
      </c>
      <c r="B480" s="1466"/>
      <c r="C480" s="1466"/>
      <c r="D480" s="1466"/>
      <c r="E480" s="1466"/>
      <c r="F480" s="1635"/>
      <c r="G480" s="1635"/>
      <c r="H480" s="1635"/>
      <c r="I480" s="1635"/>
      <c r="J480" s="1636"/>
      <c r="K480" s="1636"/>
      <c r="L480" s="314"/>
      <c r="M480" s="314"/>
      <c r="N480" s="314"/>
      <c r="O480" s="314"/>
      <c r="P480" s="314"/>
      <c r="Q480" s="314"/>
      <c r="R480" s="314"/>
      <c r="S480" s="314"/>
      <c r="T480" s="314"/>
      <c r="U480" s="314"/>
      <c r="V480" s="921"/>
      <c r="W480" s="921"/>
      <c r="X480" s="921"/>
      <c r="Y480" s="921"/>
      <c r="Z480" s="921"/>
      <c r="AA480" s="921"/>
      <c r="AB480" s="921"/>
      <c r="AC480" s="921"/>
      <c r="AD480" s="921"/>
      <c r="AE480" s="314"/>
      <c r="AF480" s="314"/>
      <c r="AG480" s="314"/>
      <c r="AH480" s="73"/>
      <c r="AI480" s="134" t="b">
        <f>F480="申請する"</f>
        <v>0</v>
      </c>
    </row>
    <row r="481" spans="1:35" ht="15" customHeight="1">
      <c r="A481" s="1637" t="s">
        <v>601</v>
      </c>
      <c r="B481" s="1638"/>
      <c r="C481" s="1638"/>
      <c r="D481" s="1638"/>
      <c r="E481" s="1638"/>
      <c r="F481" s="1714" t="s">
        <v>103</v>
      </c>
      <c r="G481" s="1714"/>
      <c r="H481" s="1714"/>
      <c r="I481" s="1714"/>
      <c r="J481" s="1714"/>
      <c r="K481" s="1714"/>
      <c r="L481" s="1714"/>
      <c r="M481" s="1714"/>
      <c r="N481" s="1714"/>
      <c r="O481" s="1714"/>
      <c r="P481" s="1714"/>
      <c r="Q481" s="1714"/>
      <c r="R481" s="1714"/>
      <c r="S481" s="1714"/>
      <c r="T481" s="1714"/>
      <c r="U481" s="1714"/>
      <c r="V481" s="1714"/>
      <c r="W481" s="1714"/>
      <c r="X481" s="1714"/>
      <c r="Y481" s="1714"/>
      <c r="Z481" s="1528"/>
      <c r="AA481" s="1713" t="s">
        <v>269</v>
      </c>
      <c r="AB481" s="1714"/>
      <c r="AC481" s="1714"/>
      <c r="AD481" s="1528"/>
      <c r="AE481" s="314"/>
      <c r="AF481" s="314"/>
      <c r="AG481" s="314"/>
      <c r="AH481" s="73"/>
    </row>
    <row r="482" spans="1:35" ht="39.950000000000003" customHeight="1">
      <c r="A482" s="1540"/>
      <c r="B482" s="1541"/>
      <c r="C482" s="1541"/>
      <c r="D482" s="1541"/>
      <c r="E482" s="1541"/>
      <c r="F482" s="934">
        <v>1</v>
      </c>
      <c r="G482" s="1515" t="s">
        <v>1631</v>
      </c>
      <c r="H482" s="1515"/>
      <c r="I482" s="1515"/>
      <c r="J482" s="1515"/>
      <c r="K482" s="1515"/>
      <c r="L482" s="1515"/>
      <c r="M482" s="1515"/>
      <c r="N482" s="1515"/>
      <c r="O482" s="1515"/>
      <c r="P482" s="1515"/>
      <c r="Q482" s="1515"/>
      <c r="R482" s="1515"/>
      <c r="S482" s="1515"/>
      <c r="T482" s="1515"/>
      <c r="U482" s="1515"/>
      <c r="V482" s="1515"/>
      <c r="W482" s="1515"/>
      <c r="X482" s="1515"/>
      <c r="Y482" s="1515"/>
      <c r="Z482" s="1462"/>
      <c r="AA482" s="1572"/>
      <c r="AB482" s="1573"/>
      <c r="AC482" s="1573"/>
      <c r="AD482" s="1872"/>
      <c r="AE482" s="314"/>
      <c r="AF482" s="314"/>
      <c r="AG482" s="314"/>
      <c r="AH482" s="73"/>
      <c r="AI482" s="937" t="b">
        <f>AA482="○"</f>
        <v>0</v>
      </c>
    </row>
    <row r="483" spans="1:35" ht="15" customHeight="1">
      <c r="A483" s="1540"/>
      <c r="B483" s="1541"/>
      <c r="C483" s="1541"/>
      <c r="D483" s="1541"/>
      <c r="E483" s="1541"/>
      <c r="F483" s="925">
        <v>2</v>
      </c>
      <c r="G483" s="1711" t="s">
        <v>1632</v>
      </c>
      <c r="H483" s="1711"/>
      <c r="I483" s="1711"/>
      <c r="J483" s="1711"/>
      <c r="K483" s="1711"/>
      <c r="L483" s="1711"/>
      <c r="M483" s="1711"/>
      <c r="N483" s="1711"/>
      <c r="O483" s="1711"/>
      <c r="P483" s="1711"/>
      <c r="Q483" s="1711"/>
      <c r="R483" s="1711"/>
      <c r="S483" s="1711"/>
      <c r="T483" s="1711"/>
      <c r="U483" s="1711"/>
      <c r="V483" s="1711"/>
      <c r="W483" s="1711"/>
      <c r="X483" s="1711"/>
      <c r="Y483" s="1711"/>
      <c r="Z483" s="1712"/>
      <c r="AA483" s="1713" t="str">
        <f>IF(AND(AI485,AI487,AI488),"配置",IF(AND(AI486,AI487,AI488),"兼務",IF(AI489,"嘱託","×")))</f>
        <v>×</v>
      </c>
      <c r="AB483" s="1714"/>
      <c r="AC483" s="1714"/>
      <c r="AD483" s="1528"/>
      <c r="AE483" s="314"/>
      <c r="AF483" s="314"/>
      <c r="AG483" s="314"/>
      <c r="AH483" s="73"/>
      <c r="AI483" s="937" t="b">
        <f>OR(AA483="配置",AA483="兼務",AA483="嘱託")</f>
        <v>0</v>
      </c>
    </row>
    <row r="484" spans="1:35" ht="15" customHeight="1">
      <c r="A484" s="1540"/>
      <c r="B484" s="1541"/>
      <c r="C484" s="1541"/>
      <c r="D484" s="1541"/>
      <c r="E484" s="1541"/>
      <c r="F484" s="2064" t="s">
        <v>486</v>
      </c>
      <c r="G484" s="2065"/>
      <c r="H484" s="1798" t="s">
        <v>594</v>
      </c>
      <c r="I484" s="1798"/>
      <c r="J484" s="1798"/>
      <c r="K484" s="1798"/>
      <c r="L484" s="1798"/>
      <c r="M484" s="1798"/>
      <c r="N484" s="1798"/>
      <c r="O484" s="1798"/>
      <c r="P484" s="1798"/>
      <c r="Q484" s="1798"/>
      <c r="R484" s="1798"/>
      <c r="S484" s="1798"/>
      <c r="T484" s="1798"/>
      <c r="U484" s="1798"/>
      <c r="V484" s="1798"/>
      <c r="W484" s="1798"/>
      <c r="X484" s="1798"/>
      <c r="Y484" s="1798"/>
      <c r="Z484" s="1799"/>
      <c r="AA484" s="1665" t="str">
        <f>IF(AND(OR(AI485,AI486),AI488),"○","×")</f>
        <v>×</v>
      </c>
      <c r="AB484" s="1756"/>
      <c r="AC484" s="1756"/>
      <c r="AD484" s="1629"/>
      <c r="AE484" s="314"/>
      <c r="AF484" s="314"/>
      <c r="AG484" s="314"/>
      <c r="AH484" s="73"/>
      <c r="AI484" s="937" t="b">
        <f t="shared" ref="AI484:AI489" si="85">AA484="○"</f>
        <v>0</v>
      </c>
    </row>
    <row r="485" spans="1:35" ht="15" customHeight="1">
      <c r="A485" s="1540"/>
      <c r="B485" s="1541"/>
      <c r="C485" s="1541"/>
      <c r="D485" s="1541"/>
      <c r="E485" s="1541"/>
      <c r="F485" s="1617" t="s">
        <v>487</v>
      </c>
      <c r="G485" s="1618"/>
      <c r="H485" s="929" t="s">
        <v>1047</v>
      </c>
      <c r="I485" s="1499" t="s">
        <v>1248</v>
      </c>
      <c r="J485" s="1499"/>
      <c r="K485" s="1499"/>
      <c r="L485" s="1499"/>
      <c r="M485" s="1499"/>
      <c r="N485" s="1499"/>
      <c r="O485" s="1499"/>
      <c r="P485" s="1499"/>
      <c r="Q485" s="1499"/>
      <c r="R485" s="1499"/>
      <c r="S485" s="1499"/>
      <c r="T485" s="1499"/>
      <c r="U485" s="1499"/>
      <c r="V485" s="1499"/>
      <c r="W485" s="1499"/>
      <c r="X485" s="1499"/>
      <c r="Y485" s="1499"/>
      <c r="Z485" s="1679"/>
      <c r="AA485" s="1443"/>
      <c r="AB485" s="1444"/>
      <c r="AC485" s="1444"/>
      <c r="AD485" s="1445"/>
      <c r="AE485" s="314"/>
      <c r="AF485" s="314"/>
      <c r="AG485" s="314"/>
      <c r="AH485" s="73"/>
      <c r="AI485" s="937" t="b">
        <f t="shared" si="85"/>
        <v>0</v>
      </c>
    </row>
    <row r="486" spans="1:35" ht="15" customHeight="1">
      <c r="A486" s="1540"/>
      <c r="B486" s="1541"/>
      <c r="C486" s="1541"/>
      <c r="D486" s="1541"/>
      <c r="E486" s="1541"/>
      <c r="F486" s="1619"/>
      <c r="G486" s="1620"/>
      <c r="H486" s="929" t="s">
        <v>1048</v>
      </c>
      <c r="I486" s="1499" t="s">
        <v>1249</v>
      </c>
      <c r="J486" s="1499"/>
      <c r="K486" s="1499"/>
      <c r="L486" s="1499"/>
      <c r="M486" s="1499"/>
      <c r="N486" s="1499"/>
      <c r="O486" s="1499"/>
      <c r="P486" s="1499"/>
      <c r="Q486" s="1499"/>
      <c r="R486" s="1499"/>
      <c r="S486" s="1499"/>
      <c r="T486" s="1499"/>
      <c r="U486" s="1499"/>
      <c r="V486" s="1499"/>
      <c r="W486" s="1499"/>
      <c r="X486" s="1499"/>
      <c r="Y486" s="1499"/>
      <c r="Z486" s="1679"/>
      <c r="AA486" s="1443"/>
      <c r="AB486" s="1444"/>
      <c r="AC486" s="1444"/>
      <c r="AD486" s="1445"/>
      <c r="AE486" s="314"/>
      <c r="AF486" s="314"/>
      <c r="AG486" s="314"/>
      <c r="AH486" s="73"/>
      <c r="AI486" s="937" t="b">
        <f t="shared" si="85"/>
        <v>0</v>
      </c>
    </row>
    <row r="487" spans="1:35" ht="15" customHeight="1">
      <c r="A487" s="1540"/>
      <c r="B487" s="1541"/>
      <c r="C487" s="1541"/>
      <c r="D487" s="1541"/>
      <c r="E487" s="1541"/>
      <c r="F487" s="1837" t="s">
        <v>488</v>
      </c>
      <c r="G487" s="1838"/>
      <c r="H487" s="1838"/>
      <c r="I487" s="1956" t="s">
        <v>489</v>
      </c>
      <c r="J487" s="1956"/>
      <c r="K487" s="1956"/>
      <c r="L487" s="1956"/>
      <c r="M487" s="1956"/>
      <c r="N487" s="1956"/>
      <c r="O487" s="1956"/>
      <c r="P487" s="1956"/>
      <c r="Q487" s="1956"/>
      <c r="R487" s="1956"/>
      <c r="S487" s="1956"/>
      <c r="T487" s="1956"/>
      <c r="U487" s="1956"/>
      <c r="V487" s="1956"/>
      <c r="W487" s="1956"/>
      <c r="X487" s="1956"/>
      <c r="Y487" s="1956"/>
      <c r="Z487" s="1957"/>
      <c r="AA487" s="2068" t="str">
        <f>【様式５】職員数算出表!O76</f>
        <v>-</v>
      </c>
      <c r="AB487" s="1877"/>
      <c r="AC487" s="1877"/>
      <c r="AD487" s="2069"/>
      <c r="AE487" s="314"/>
      <c r="AF487" s="314"/>
      <c r="AG487" s="314"/>
      <c r="AH487" s="73"/>
      <c r="AI487" s="937" t="b">
        <f t="shared" si="85"/>
        <v>0</v>
      </c>
    </row>
    <row r="488" spans="1:35" ht="15" customHeight="1">
      <c r="A488" s="1540"/>
      <c r="B488" s="1541"/>
      <c r="C488" s="1541"/>
      <c r="D488" s="1541"/>
      <c r="E488" s="1541"/>
      <c r="F488" s="1543" t="s">
        <v>1049</v>
      </c>
      <c r="G488" s="1544"/>
      <c r="H488" s="1544"/>
      <c r="I488" s="1499" t="s">
        <v>633</v>
      </c>
      <c r="J488" s="1499"/>
      <c r="K488" s="1499"/>
      <c r="L488" s="1499"/>
      <c r="M488" s="1499"/>
      <c r="N488" s="1499"/>
      <c r="O488" s="1499"/>
      <c r="P488" s="1499"/>
      <c r="Q488" s="1499"/>
      <c r="R488" s="1499"/>
      <c r="S488" s="1499"/>
      <c r="T488" s="1499"/>
      <c r="U488" s="1499"/>
      <c r="V488" s="1499"/>
      <c r="W488" s="1499"/>
      <c r="X488" s="1499"/>
      <c r="Y488" s="1499"/>
      <c r="Z488" s="1679"/>
      <c r="AA488" s="1443"/>
      <c r="AB488" s="1444"/>
      <c r="AC488" s="1444"/>
      <c r="AD488" s="1445"/>
      <c r="AE488" s="314"/>
      <c r="AF488" s="314"/>
      <c r="AG488" s="314"/>
      <c r="AH488" s="73"/>
      <c r="AI488" s="838" t="b">
        <f t="shared" si="85"/>
        <v>0</v>
      </c>
    </row>
    <row r="489" spans="1:35" ht="15" customHeight="1">
      <c r="A489" s="1542"/>
      <c r="B489" s="1407"/>
      <c r="C489" s="1407"/>
      <c r="D489" s="1407"/>
      <c r="E489" s="1407"/>
      <c r="F489" s="2082" t="s">
        <v>490</v>
      </c>
      <c r="G489" s="1667"/>
      <c r="H489" s="1456" t="s">
        <v>593</v>
      </c>
      <c r="I489" s="1456"/>
      <c r="J489" s="1456"/>
      <c r="K489" s="1456"/>
      <c r="L489" s="1456"/>
      <c r="M489" s="1456"/>
      <c r="N489" s="1456"/>
      <c r="O489" s="1456"/>
      <c r="P489" s="1456"/>
      <c r="Q489" s="1456"/>
      <c r="R489" s="1456"/>
      <c r="S489" s="1456"/>
      <c r="T489" s="1456"/>
      <c r="U489" s="1456"/>
      <c r="V489" s="1456"/>
      <c r="W489" s="1456"/>
      <c r="X489" s="1456"/>
      <c r="Y489" s="1456"/>
      <c r="Z489" s="1457"/>
      <c r="AA489" s="1417"/>
      <c r="AB489" s="1639"/>
      <c r="AC489" s="1639"/>
      <c r="AD489" s="1418"/>
      <c r="AE489" s="314"/>
      <c r="AF489" s="314"/>
      <c r="AG489" s="314"/>
      <c r="AH489" s="73"/>
      <c r="AI489" s="937" t="b">
        <f t="shared" si="85"/>
        <v>0</v>
      </c>
    </row>
    <row r="490" spans="1:35" ht="15" customHeight="1">
      <c r="A490" s="1665" t="s">
        <v>51</v>
      </c>
      <c r="B490" s="1756"/>
      <c r="C490" s="1756"/>
      <c r="D490" s="1756"/>
      <c r="E490" s="1629"/>
      <c r="F490" s="2030" t="s">
        <v>1050</v>
      </c>
      <c r="G490" s="1515"/>
      <c r="H490" s="1515"/>
      <c r="I490" s="1515"/>
      <c r="J490" s="1515"/>
      <c r="K490" s="1515"/>
      <c r="L490" s="1515"/>
      <c r="M490" s="1515"/>
      <c r="N490" s="1515"/>
      <c r="O490" s="1515"/>
      <c r="P490" s="1515"/>
      <c r="Q490" s="1515"/>
      <c r="R490" s="1515"/>
      <c r="S490" s="1515"/>
      <c r="T490" s="1515"/>
      <c r="U490" s="1515"/>
      <c r="V490" s="1515"/>
      <c r="W490" s="1515"/>
      <c r="X490" s="1515"/>
      <c r="Y490" s="1515"/>
      <c r="Z490" s="1515"/>
      <c r="AA490" s="1515"/>
      <c r="AB490" s="1515"/>
      <c r="AC490" s="1515"/>
      <c r="AD490" s="1462"/>
      <c r="AE490" s="314"/>
      <c r="AF490" s="314"/>
      <c r="AG490" s="314"/>
      <c r="AH490" s="73"/>
    </row>
    <row r="491" spans="1:35" ht="15" customHeight="1">
      <c r="A491" s="1630"/>
      <c r="B491" s="1539"/>
      <c r="C491" s="1539"/>
      <c r="D491" s="1539"/>
      <c r="E491" s="1631"/>
      <c r="F491" s="1569" t="s">
        <v>1633</v>
      </c>
      <c r="G491" s="1429"/>
      <c r="H491" s="1429"/>
      <c r="I491" s="1429"/>
      <c r="J491" s="1429"/>
      <c r="K491" s="1429"/>
      <c r="L491" s="1429"/>
      <c r="M491" s="1429"/>
      <c r="N491" s="1429"/>
      <c r="O491" s="1429"/>
      <c r="P491" s="1429"/>
      <c r="Q491" s="1429"/>
      <c r="R491" s="1429"/>
      <c r="S491" s="1429"/>
      <c r="T491" s="1429"/>
      <c r="U491" s="1429"/>
      <c r="V491" s="1429"/>
      <c r="W491" s="1429"/>
      <c r="X491" s="1429"/>
      <c r="Y491" s="1429"/>
      <c r="Z491" s="1429"/>
      <c r="AA491" s="1429"/>
      <c r="AB491" s="1429"/>
      <c r="AC491" s="1429"/>
      <c r="AD491" s="1570"/>
      <c r="AE491" s="314"/>
      <c r="AF491" s="314"/>
      <c r="AG491" s="314"/>
      <c r="AH491" s="73"/>
    </row>
    <row r="492" spans="1:35" ht="110.1" customHeight="1">
      <c r="A492" s="1630"/>
      <c r="B492" s="1539"/>
      <c r="C492" s="1539"/>
      <c r="D492" s="1539"/>
      <c r="E492" s="1631"/>
      <c r="F492" s="1569" t="s">
        <v>1683</v>
      </c>
      <c r="G492" s="1429"/>
      <c r="H492" s="1429"/>
      <c r="I492" s="1429"/>
      <c r="J492" s="1429"/>
      <c r="K492" s="1429"/>
      <c r="L492" s="1429"/>
      <c r="M492" s="1429"/>
      <c r="N492" s="1429"/>
      <c r="O492" s="1429"/>
      <c r="P492" s="1429"/>
      <c r="Q492" s="1429"/>
      <c r="R492" s="1429"/>
      <c r="S492" s="1429"/>
      <c r="T492" s="1429"/>
      <c r="U492" s="1429"/>
      <c r="V492" s="1429"/>
      <c r="W492" s="1429"/>
      <c r="X492" s="1429"/>
      <c r="Y492" s="1429"/>
      <c r="Z492" s="1429"/>
      <c r="AA492" s="1429"/>
      <c r="AB492" s="1429"/>
      <c r="AC492" s="1429"/>
      <c r="AD492" s="1570"/>
      <c r="AE492" s="314"/>
      <c r="AF492" s="314"/>
      <c r="AG492" s="314"/>
      <c r="AH492" s="73"/>
    </row>
    <row r="493" spans="1:35" ht="15" customHeight="1">
      <c r="A493" s="1411"/>
      <c r="B493" s="1412"/>
      <c r="C493" s="1412"/>
      <c r="D493" s="1412"/>
      <c r="E493" s="1439"/>
      <c r="F493" s="1400" t="s">
        <v>1634</v>
      </c>
      <c r="G493" s="1401"/>
      <c r="H493" s="1401"/>
      <c r="I493" s="1401"/>
      <c r="J493" s="1401"/>
      <c r="K493" s="1401"/>
      <c r="L493" s="1401"/>
      <c r="M493" s="1401"/>
      <c r="N493" s="1401"/>
      <c r="O493" s="1401"/>
      <c r="P493" s="1401"/>
      <c r="Q493" s="1401"/>
      <c r="R493" s="1401"/>
      <c r="S493" s="1401"/>
      <c r="T493" s="1401"/>
      <c r="U493" s="1401"/>
      <c r="V493" s="1401"/>
      <c r="W493" s="1401"/>
      <c r="X493" s="1401"/>
      <c r="Y493" s="1401"/>
      <c r="Z493" s="1401"/>
      <c r="AA493" s="1401"/>
      <c r="AB493" s="1401"/>
      <c r="AC493" s="1401"/>
      <c r="AD493" s="1402"/>
      <c r="AE493" s="314"/>
      <c r="AF493" s="314"/>
      <c r="AG493" s="314"/>
      <c r="AH493" s="73"/>
    </row>
    <row r="494" spans="1:35" ht="15" customHeight="1">
      <c r="A494" s="314" t="s">
        <v>1246</v>
      </c>
      <c r="B494" s="314"/>
      <c r="C494" s="314"/>
      <c r="D494" s="314"/>
      <c r="E494" s="314"/>
      <c r="F494" s="314"/>
      <c r="G494" s="314"/>
      <c r="H494" s="314"/>
      <c r="I494" s="314"/>
      <c r="J494" s="314"/>
      <c r="K494" s="314"/>
      <c r="L494" s="314"/>
      <c r="M494" s="314"/>
      <c r="N494" s="314"/>
      <c r="O494" s="314"/>
      <c r="P494" s="314"/>
      <c r="Q494" s="314"/>
      <c r="R494" s="314"/>
      <c r="S494" s="314"/>
      <c r="T494" s="314"/>
      <c r="U494" s="314"/>
      <c r="V494" s="314"/>
      <c r="W494" s="314"/>
      <c r="X494" s="314"/>
      <c r="Y494" s="314"/>
      <c r="Z494" s="314"/>
      <c r="AA494" s="314"/>
      <c r="AB494" s="314"/>
      <c r="AC494" s="314"/>
      <c r="AD494" s="314"/>
      <c r="AE494" s="314"/>
      <c r="AF494" s="314"/>
      <c r="AG494" s="314"/>
      <c r="AH494" s="73"/>
    </row>
    <row r="495" spans="1:35" ht="15" customHeight="1">
      <c r="A495" s="1466" t="s">
        <v>160</v>
      </c>
      <c r="B495" s="1466"/>
      <c r="C495" s="1466"/>
      <c r="D495" s="1466"/>
      <c r="E495" s="1466"/>
      <c r="F495" s="1466" t="s">
        <v>354</v>
      </c>
      <c r="G495" s="1466"/>
      <c r="H495" s="1466"/>
      <c r="I495" s="1466"/>
      <c r="J495" s="1466"/>
      <c r="K495" s="1466"/>
      <c r="L495" s="1466"/>
      <c r="M495" s="1466"/>
      <c r="N495" s="1466"/>
      <c r="O495" s="1466"/>
      <c r="P495" s="1466"/>
      <c r="Q495" s="1466"/>
      <c r="R495" s="1466"/>
      <c r="S495" s="1466"/>
      <c r="T495" s="1466"/>
      <c r="U495" s="1466"/>
      <c r="V495" s="1466"/>
      <c r="W495" s="1466"/>
      <c r="X495" s="1466"/>
      <c r="Y495" s="1466"/>
      <c r="Z495" s="1466"/>
      <c r="AA495" s="1466"/>
      <c r="AB495" s="1466"/>
      <c r="AC495" s="1466"/>
      <c r="AD495" s="1466"/>
      <c r="AE495" s="314"/>
      <c r="AF495" s="314"/>
      <c r="AG495" s="314"/>
      <c r="AH495" s="73"/>
    </row>
    <row r="496" spans="1:35" ht="24.95" customHeight="1">
      <c r="A496" s="1961" t="s">
        <v>468</v>
      </c>
      <c r="B496" s="1961"/>
      <c r="C496" s="1961"/>
      <c r="D496" s="1961"/>
      <c r="E496" s="1961"/>
      <c r="F496" s="1962" t="s">
        <v>1635</v>
      </c>
      <c r="G496" s="1962"/>
      <c r="H496" s="1962"/>
      <c r="I496" s="1962"/>
      <c r="J496" s="1962"/>
      <c r="K496" s="1962"/>
      <c r="L496" s="1962"/>
      <c r="M496" s="1962"/>
      <c r="N496" s="1962"/>
      <c r="O496" s="1962"/>
      <c r="P496" s="1962"/>
      <c r="Q496" s="1962"/>
      <c r="R496" s="1962"/>
      <c r="S496" s="1962"/>
      <c r="T496" s="1962"/>
      <c r="U496" s="1962"/>
      <c r="V496" s="1962"/>
      <c r="W496" s="1962"/>
      <c r="X496" s="1962"/>
      <c r="Y496" s="1962"/>
      <c r="Z496" s="1962"/>
      <c r="AA496" s="1962"/>
      <c r="AB496" s="1962"/>
      <c r="AC496" s="1962"/>
      <c r="AD496" s="1962"/>
      <c r="AE496" s="314"/>
      <c r="AF496" s="314"/>
      <c r="AG496" s="314"/>
      <c r="AH496" s="73"/>
    </row>
    <row r="497" spans="1:34" ht="24.95" customHeight="1">
      <c r="A497" s="2088" t="s">
        <v>321</v>
      </c>
      <c r="B497" s="2088"/>
      <c r="C497" s="2088"/>
      <c r="D497" s="2088"/>
      <c r="E497" s="2088"/>
      <c r="F497" s="2089" t="s">
        <v>1636</v>
      </c>
      <c r="G497" s="2089"/>
      <c r="H497" s="2089"/>
      <c r="I497" s="2089"/>
      <c r="J497" s="2089"/>
      <c r="K497" s="2089"/>
      <c r="L497" s="2089"/>
      <c r="M497" s="2089"/>
      <c r="N497" s="2089"/>
      <c r="O497" s="2089"/>
      <c r="P497" s="2089"/>
      <c r="Q497" s="2089"/>
      <c r="R497" s="2089"/>
      <c r="S497" s="2089"/>
      <c r="T497" s="2089"/>
      <c r="U497" s="2089"/>
      <c r="V497" s="2089"/>
      <c r="W497" s="2089"/>
      <c r="X497" s="2089"/>
      <c r="Y497" s="2089"/>
      <c r="Z497" s="2089"/>
      <c r="AA497" s="2089"/>
      <c r="AB497" s="2089"/>
      <c r="AC497" s="2089"/>
      <c r="AD497" s="2089"/>
      <c r="AE497" s="314"/>
      <c r="AF497" s="314"/>
      <c r="AG497" s="314"/>
      <c r="AH497" s="73"/>
    </row>
    <row r="498" spans="1:34" ht="15" customHeight="1">
      <c r="A498" s="1657" t="s">
        <v>592</v>
      </c>
      <c r="B498" s="1657"/>
      <c r="C498" s="1657"/>
      <c r="D498" s="1657"/>
      <c r="E498" s="1657"/>
      <c r="F498" s="2095" t="s">
        <v>1637</v>
      </c>
      <c r="G498" s="2095"/>
      <c r="H498" s="2095"/>
      <c r="I498" s="2095"/>
      <c r="J498" s="2095"/>
      <c r="K498" s="2095"/>
      <c r="L498" s="2095"/>
      <c r="M498" s="2095"/>
      <c r="N498" s="2095"/>
      <c r="O498" s="2095"/>
      <c r="P498" s="2095"/>
      <c r="Q498" s="2095"/>
      <c r="R498" s="2095"/>
      <c r="S498" s="2095"/>
      <c r="T498" s="2095"/>
      <c r="U498" s="2095"/>
      <c r="V498" s="2095"/>
      <c r="W498" s="2095"/>
      <c r="X498" s="2095"/>
      <c r="Y498" s="2095"/>
      <c r="Z498" s="2095"/>
      <c r="AA498" s="2095"/>
      <c r="AB498" s="2095"/>
      <c r="AC498" s="2095"/>
      <c r="AD498" s="2095"/>
      <c r="AE498" s="314"/>
      <c r="AF498" s="314"/>
      <c r="AG498" s="314"/>
      <c r="AH498" s="73"/>
    </row>
    <row r="499" spans="1:34">
      <c r="A499" s="314" t="s">
        <v>1247</v>
      </c>
      <c r="B499" s="314"/>
      <c r="C499" s="314"/>
      <c r="D499" s="314"/>
      <c r="E499" s="314"/>
      <c r="F499" s="314"/>
      <c r="G499" s="314"/>
      <c r="H499" s="314"/>
      <c r="I499" s="314"/>
      <c r="J499" s="314"/>
      <c r="K499" s="314"/>
      <c r="L499" s="314"/>
      <c r="M499" s="314"/>
      <c r="N499" s="314"/>
      <c r="O499" s="314"/>
      <c r="P499" s="314"/>
      <c r="Q499" s="314"/>
      <c r="R499" s="314"/>
      <c r="S499" s="314"/>
      <c r="T499" s="314"/>
      <c r="U499" s="314"/>
      <c r="V499" s="314"/>
      <c r="W499" s="314"/>
      <c r="X499" s="314"/>
      <c r="Y499" s="314"/>
      <c r="Z499" s="314"/>
      <c r="AA499" s="314"/>
      <c r="AB499" s="314"/>
      <c r="AC499" s="314"/>
      <c r="AD499" s="314"/>
      <c r="AE499" s="314"/>
      <c r="AF499" s="314"/>
      <c r="AG499" s="314"/>
    </row>
  </sheetData>
  <sheetProtection algorithmName="SHA-512" hashValue="z0MDOUHVsZGGjrXODhfMZu9OBHASly3r6+wVhmgfohhlotbV6koRbUDSSudlSJUeUIHxTeryP/BRAdPnKHdwGw==" saltValue="JOwQDPeDxb/b00i5abrLrA==" spinCount="100000" sheet="1" objects="1" scenarios="1"/>
  <mergeCells count="1478">
    <mergeCell ref="F267:AD267"/>
    <mergeCell ref="F272:K272"/>
    <mergeCell ref="J271:N271"/>
    <mergeCell ref="AA273:AD273"/>
    <mergeCell ref="G274:Z274"/>
    <mergeCell ref="J279:N279"/>
    <mergeCell ref="O282:Q282"/>
    <mergeCell ref="G275:Z275"/>
    <mergeCell ref="A272:E272"/>
    <mergeCell ref="A282:I282"/>
    <mergeCell ref="F290:Z290"/>
    <mergeCell ref="G302:AC302"/>
    <mergeCell ref="AD302:AG302"/>
    <mergeCell ref="G276:Z276"/>
    <mergeCell ref="J297:N297"/>
    <mergeCell ref="AA260:AD260"/>
    <mergeCell ref="G266:Z266"/>
    <mergeCell ref="AF351:AG356"/>
    <mergeCell ref="AI103:AI105"/>
    <mergeCell ref="X1:AG1"/>
    <mergeCell ref="H320:H321"/>
    <mergeCell ref="A254:AG254"/>
    <mergeCell ref="A236:E241"/>
    <mergeCell ref="A242:E243"/>
    <mergeCell ref="F242:AC242"/>
    <mergeCell ref="H308:J308"/>
    <mergeCell ref="Z354:AB354"/>
    <mergeCell ref="AC312:AD312"/>
    <mergeCell ref="P321:AA321"/>
    <mergeCell ref="AC354:AD354"/>
    <mergeCell ref="N313:P313"/>
    <mergeCell ref="G347:AC347"/>
    <mergeCell ref="H317:AE317"/>
    <mergeCell ref="AD347:AG347"/>
    <mergeCell ref="Q355:R355"/>
    <mergeCell ref="T355:V355"/>
    <mergeCell ref="H348:AE348"/>
    <mergeCell ref="F293:AD293"/>
    <mergeCell ref="AA264:AD264"/>
    <mergeCell ref="H244:I244"/>
    <mergeCell ref="AA291:AD291"/>
    <mergeCell ref="H305:AE305"/>
    <mergeCell ref="H306:J306"/>
    <mergeCell ref="K306:L306"/>
    <mergeCell ref="H304:AA304"/>
    <mergeCell ref="AB304:AE304"/>
    <mergeCell ref="A273:E276"/>
    <mergeCell ref="M286:Z286"/>
    <mergeCell ref="F283:Z283"/>
    <mergeCell ref="F358:G364"/>
    <mergeCell ref="AF358:AG364"/>
    <mergeCell ref="H360:AE360"/>
    <mergeCell ref="J361:AA361"/>
    <mergeCell ref="AB361:AE361"/>
    <mergeCell ref="J362:AA362"/>
    <mergeCell ref="AB362:AE362"/>
    <mergeCell ref="J363:AA363"/>
    <mergeCell ref="F298:AC298"/>
    <mergeCell ref="G437:Z437"/>
    <mergeCell ref="AA437:AD439"/>
    <mergeCell ref="I349:W349"/>
    <mergeCell ref="X349:AE349"/>
    <mergeCell ref="I350:W350"/>
    <mergeCell ref="X350:AE350"/>
    <mergeCell ref="K307:L307"/>
    <mergeCell ref="H327:AE327"/>
    <mergeCell ref="AF319:AG325"/>
    <mergeCell ref="AB320:AE321"/>
    <mergeCell ref="Q307:R307"/>
    <mergeCell ref="Q313:R313"/>
    <mergeCell ref="AB328:AC328"/>
    <mergeCell ref="AD328:AE328"/>
    <mergeCell ref="F334:AG334"/>
    <mergeCell ref="F333:AG333"/>
    <mergeCell ref="I324:V324"/>
    <mergeCell ref="J387:K387"/>
    <mergeCell ref="L387:M387"/>
    <mergeCell ref="N387:O387"/>
    <mergeCell ref="F332:AG332"/>
    <mergeCell ref="AF348:AG350"/>
    <mergeCell ref="AD393:AE393"/>
    <mergeCell ref="A497:E497"/>
    <mergeCell ref="F497:AD497"/>
    <mergeCell ref="A394:AG394"/>
    <mergeCell ref="W324:AA324"/>
    <mergeCell ref="X414:Y414"/>
    <mergeCell ref="AD345:AG345"/>
    <mergeCell ref="F466:AD466"/>
    <mergeCell ref="F438:G438"/>
    <mergeCell ref="Y438:Z438"/>
    <mergeCell ref="A445:E445"/>
    <mergeCell ref="AF309:AG314"/>
    <mergeCell ref="G449:Z449"/>
    <mergeCell ref="AA449:AD449"/>
    <mergeCell ref="F450:G450"/>
    <mergeCell ref="H450:Z450"/>
    <mergeCell ref="AA450:AD451"/>
    <mergeCell ref="A498:E498"/>
    <mergeCell ref="F498:AD498"/>
    <mergeCell ref="J431:N431"/>
    <mergeCell ref="J444:N444"/>
    <mergeCell ref="J458:N458"/>
    <mergeCell ref="J469:N469"/>
    <mergeCell ref="A479:I479"/>
    <mergeCell ref="J479:N479"/>
    <mergeCell ref="O479:Q479"/>
    <mergeCell ref="A480:E480"/>
    <mergeCell ref="F480:K480"/>
    <mergeCell ref="A481:E489"/>
    <mergeCell ref="F481:Z481"/>
    <mergeCell ref="AA481:AD481"/>
    <mergeCell ref="G482:Z482"/>
    <mergeCell ref="O444:Q444"/>
    <mergeCell ref="AD343:AG343"/>
    <mergeCell ref="G344:AC344"/>
    <mergeCell ref="O342:Q342"/>
    <mergeCell ref="F317:G318"/>
    <mergeCell ref="AC308:AD308"/>
    <mergeCell ref="H316:AA316"/>
    <mergeCell ref="H322:H323"/>
    <mergeCell ref="H315:AE315"/>
    <mergeCell ref="O458:Q458"/>
    <mergeCell ref="A496:E496"/>
    <mergeCell ref="F496:AD496"/>
    <mergeCell ref="A444:I444"/>
    <mergeCell ref="A476:E477"/>
    <mergeCell ref="G475:Z475"/>
    <mergeCell ref="F470:K470"/>
    <mergeCell ref="F493:AD493"/>
    <mergeCell ref="F489:G489"/>
    <mergeCell ref="H489:Z489"/>
    <mergeCell ref="F490:AD490"/>
    <mergeCell ref="H439:T439"/>
    <mergeCell ref="AA472:AD473"/>
    <mergeCell ref="AA446:AD446"/>
    <mergeCell ref="AA475:AD475"/>
    <mergeCell ref="W354:X354"/>
    <mergeCell ref="A337:AG337"/>
    <mergeCell ref="N356:P356"/>
    <mergeCell ref="F491:AD491"/>
    <mergeCell ref="F446:Z446"/>
    <mergeCell ref="F331:AG331"/>
    <mergeCell ref="G345:AC345"/>
    <mergeCell ref="F369:AG369"/>
    <mergeCell ref="F439:G439"/>
    <mergeCell ref="F462:L462"/>
    <mergeCell ref="F448:L448"/>
    <mergeCell ref="AB363:AE363"/>
    <mergeCell ref="J364:AA364"/>
    <mergeCell ref="AB364:AE364"/>
    <mergeCell ref="AD344:AG344"/>
    <mergeCell ref="G346:AC346"/>
    <mergeCell ref="AD346:AG346"/>
    <mergeCell ref="AA482:AD482"/>
    <mergeCell ref="AF357:AG357"/>
    <mergeCell ref="H358:AE358"/>
    <mergeCell ref="H355:J355"/>
    <mergeCell ref="F326:G328"/>
    <mergeCell ref="A431:I431"/>
    <mergeCell ref="F441:AD441"/>
    <mergeCell ref="F476:AD476"/>
    <mergeCell ref="Z418:AA418"/>
    <mergeCell ref="AB418:AC418"/>
    <mergeCell ref="AD418:AE418"/>
    <mergeCell ref="H451:Z451"/>
    <mergeCell ref="F452:G452"/>
    <mergeCell ref="T354:V354"/>
    <mergeCell ref="G385:AC385"/>
    <mergeCell ref="H351:AE351"/>
    <mergeCell ref="T413:U413"/>
    <mergeCell ref="F348:G350"/>
    <mergeCell ref="A383:E385"/>
    <mergeCell ref="A377:I377"/>
    <mergeCell ref="F383:AC383"/>
    <mergeCell ref="AC356:AD356"/>
    <mergeCell ref="A470:E470"/>
    <mergeCell ref="A331:E336"/>
    <mergeCell ref="A495:E495"/>
    <mergeCell ref="F495:AD495"/>
    <mergeCell ref="A382:AG382"/>
    <mergeCell ref="G483:Z483"/>
    <mergeCell ref="AA483:AD483"/>
    <mergeCell ref="F484:G484"/>
    <mergeCell ref="H484:Z484"/>
    <mergeCell ref="AA484:AD484"/>
    <mergeCell ref="I485:Z485"/>
    <mergeCell ref="AA485:AD485"/>
    <mergeCell ref="I486:Z486"/>
    <mergeCell ref="AA486:AD486"/>
    <mergeCell ref="F487:H487"/>
    <mergeCell ref="I487:Z487"/>
    <mergeCell ref="G464:Z464"/>
    <mergeCell ref="AA435:AD435"/>
    <mergeCell ref="G436:Z436"/>
    <mergeCell ref="AA436:AD436"/>
    <mergeCell ref="H438:T438"/>
    <mergeCell ref="F442:AD442"/>
    <mergeCell ref="F432:K432"/>
    <mergeCell ref="A490:E493"/>
    <mergeCell ref="G474:Z474"/>
    <mergeCell ref="AA474:AD474"/>
    <mergeCell ref="AA489:AD489"/>
    <mergeCell ref="L414:M414"/>
    <mergeCell ref="A433:E439"/>
    <mergeCell ref="F433:Z433"/>
    <mergeCell ref="F492:AD492"/>
    <mergeCell ref="AB414:AC414"/>
    <mergeCell ref="AA487:AD487"/>
    <mergeCell ref="R414:S414"/>
    <mergeCell ref="AI447:AI448"/>
    <mergeCell ref="H452:Z452"/>
    <mergeCell ref="AA452:AD453"/>
    <mergeCell ref="H453:Z453"/>
    <mergeCell ref="A432:E432"/>
    <mergeCell ref="AI472:AI473"/>
    <mergeCell ref="F473:L473"/>
    <mergeCell ref="M473:Z473"/>
    <mergeCell ref="A454:E455"/>
    <mergeCell ref="F454:AD454"/>
    <mergeCell ref="F455:AD455"/>
    <mergeCell ref="A459:E459"/>
    <mergeCell ref="F459:K459"/>
    <mergeCell ref="AA460:AD460"/>
    <mergeCell ref="A458:I458"/>
    <mergeCell ref="AI461:AI462"/>
    <mergeCell ref="AA433:AD433"/>
    <mergeCell ref="AA463:AD463"/>
    <mergeCell ref="AA471:AD471"/>
    <mergeCell ref="U438:X438"/>
    <mergeCell ref="AI438:AI439"/>
    <mergeCell ref="F471:Z471"/>
    <mergeCell ref="A460:E464"/>
    <mergeCell ref="M462:Z462"/>
    <mergeCell ref="AA464:AD464"/>
    <mergeCell ref="M448:Z448"/>
    <mergeCell ref="F460:Z460"/>
    <mergeCell ref="A471:E475"/>
    <mergeCell ref="F445:K445"/>
    <mergeCell ref="A446:E453"/>
    <mergeCell ref="G472:Z472"/>
    <mergeCell ref="O469:Q469"/>
    <mergeCell ref="A245:E245"/>
    <mergeCell ref="A231:AG232"/>
    <mergeCell ref="AA241:AD241"/>
    <mergeCell ref="F243:G243"/>
    <mergeCell ref="H243:I243"/>
    <mergeCell ref="J243:K243"/>
    <mergeCell ref="L243:M243"/>
    <mergeCell ref="A244:E244"/>
    <mergeCell ref="X245:Y245"/>
    <mergeCell ref="N243:O243"/>
    <mergeCell ref="P243:Q243"/>
    <mergeCell ref="R243:S243"/>
    <mergeCell ref="T243:U243"/>
    <mergeCell ref="V243:W243"/>
    <mergeCell ref="X243:Y243"/>
    <mergeCell ref="Z243:AA243"/>
    <mergeCell ref="AB243:AC243"/>
    <mergeCell ref="H239:Z239"/>
    <mergeCell ref="J244:K244"/>
    <mergeCell ref="F244:G244"/>
    <mergeCell ref="AA101:AD101"/>
    <mergeCell ref="AA114:AD114"/>
    <mergeCell ref="F88:AG88"/>
    <mergeCell ref="A89:AG89"/>
    <mergeCell ref="G162:Z162"/>
    <mergeCell ref="O156:Q156"/>
    <mergeCell ref="O169:Q169"/>
    <mergeCell ref="A227:E227"/>
    <mergeCell ref="F227:AD227"/>
    <mergeCell ref="A228:AG228"/>
    <mergeCell ref="A229:AG229"/>
    <mergeCell ref="AA236:AD236"/>
    <mergeCell ref="G237:Z237"/>
    <mergeCell ref="AA237:AD237"/>
    <mergeCell ref="F236:Z236"/>
    <mergeCell ref="F238:G238"/>
    <mergeCell ref="H238:Z238"/>
    <mergeCell ref="AA238:AD238"/>
    <mergeCell ref="G99:Z99"/>
    <mergeCell ref="G103:Z103"/>
    <mergeCell ref="AA103:AD103"/>
    <mergeCell ref="F151:K151"/>
    <mergeCell ref="A152:E153"/>
    <mergeCell ref="F121:Z121"/>
    <mergeCell ref="AA121:AD121"/>
    <mergeCell ref="AA153:AD153"/>
    <mergeCell ref="A185:E185"/>
    <mergeCell ref="A181:E181"/>
    <mergeCell ref="G225:U225"/>
    <mergeCell ref="G226:U226"/>
    <mergeCell ref="F235:K235"/>
    <mergeCell ref="A216:AG217"/>
    <mergeCell ref="AJ72:AJ75"/>
    <mergeCell ref="AJ76:AJ79"/>
    <mergeCell ref="AJ83:AJ87"/>
    <mergeCell ref="AI159:AI160"/>
    <mergeCell ref="J184:N184"/>
    <mergeCell ref="J219:N219"/>
    <mergeCell ref="Q199:R199"/>
    <mergeCell ref="S199:T199"/>
    <mergeCell ref="U199:V199"/>
    <mergeCell ref="W199:X199"/>
    <mergeCell ref="F202:F204"/>
    <mergeCell ref="G202:Z202"/>
    <mergeCell ref="F209:AD209"/>
    <mergeCell ref="F206:AD206"/>
    <mergeCell ref="AC201:AD201"/>
    <mergeCell ref="AC200:AD200"/>
    <mergeCell ref="K203:L203"/>
    <mergeCell ref="F165:AD165"/>
    <mergeCell ref="G163:Z163"/>
    <mergeCell ref="AA163:AD163"/>
    <mergeCell ref="H104:Z104"/>
    <mergeCell ref="AA104:AD104"/>
    <mergeCell ref="H105:Z105"/>
    <mergeCell ref="AA99:AD99"/>
    <mergeCell ref="I203:J203"/>
    <mergeCell ref="M204:N204"/>
    <mergeCell ref="A184:I184"/>
    <mergeCell ref="O199:P199"/>
    <mergeCell ref="Y199:Z199"/>
    <mergeCell ref="A125:I125"/>
    <mergeCell ref="J125:N125"/>
    <mergeCell ref="O125:Q125"/>
    <mergeCell ref="A379:E379"/>
    <mergeCell ref="N390:O390"/>
    <mergeCell ref="A393:E393"/>
    <mergeCell ref="F393:G393"/>
    <mergeCell ref="AD384:AG384"/>
    <mergeCell ref="AF365:AG366"/>
    <mergeCell ref="AF388:AG388"/>
    <mergeCell ref="X389:Y389"/>
    <mergeCell ref="AB393:AC393"/>
    <mergeCell ref="U439:X439"/>
    <mergeCell ref="Y439:Z439"/>
    <mergeCell ref="G434:Z434"/>
    <mergeCell ref="G435:Z435"/>
    <mergeCell ref="AA434:AD434"/>
    <mergeCell ref="F372:AG372"/>
    <mergeCell ref="F370:AG370"/>
    <mergeCell ref="O431:Q431"/>
    <mergeCell ref="AD414:AE414"/>
    <mergeCell ref="F387:I387"/>
    <mergeCell ref="F378:K378"/>
    <mergeCell ref="A392:E392"/>
    <mergeCell ref="F392:G392"/>
    <mergeCell ref="H392:I392"/>
    <mergeCell ref="A378:E378"/>
    <mergeCell ref="A390:E390"/>
    <mergeCell ref="A391:E391"/>
    <mergeCell ref="T391:U391"/>
    <mergeCell ref="F390:G390"/>
    <mergeCell ref="F391:G391"/>
    <mergeCell ref="P390:Q390"/>
    <mergeCell ref="A414:E414"/>
    <mergeCell ref="H417:I417"/>
    <mergeCell ref="AB366:AC366"/>
    <mergeCell ref="N306:P306"/>
    <mergeCell ref="F465:AD465"/>
    <mergeCell ref="Z414:AA414"/>
    <mergeCell ref="Z390:AA390"/>
    <mergeCell ref="L389:M389"/>
    <mergeCell ref="H353:AE353"/>
    <mergeCell ref="H354:J354"/>
    <mergeCell ref="K354:L354"/>
    <mergeCell ref="N354:P354"/>
    <mergeCell ref="F351:G356"/>
    <mergeCell ref="K355:L355"/>
    <mergeCell ref="A338:AG338"/>
    <mergeCell ref="T312:V312"/>
    <mergeCell ref="H310:AA310"/>
    <mergeCell ref="H309:AE309"/>
    <mergeCell ref="K308:L308"/>
    <mergeCell ref="AB316:AC316"/>
    <mergeCell ref="H312:J312"/>
    <mergeCell ref="K312:L312"/>
    <mergeCell ref="N312:P312"/>
    <mergeCell ref="I321:O321"/>
    <mergeCell ref="A341:I342"/>
    <mergeCell ref="Q306:R306"/>
    <mergeCell ref="F371:AG371"/>
    <mergeCell ref="AA461:AD462"/>
    <mergeCell ref="G463:Z463"/>
    <mergeCell ref="H388:I388"/>
    <mergeCell ref="AA447:AD448"/>
    <mergeCell ref="G461:Z461"/>
    <mergeCell ref="A440:E442"/>
    <mergeCell ref="F440:AD440"/>
    <mergeCell ref="A257:E257"/>
    <mergeCell ref="T313:V313"/>
    <mergeCell ref="W313:X313"/>
    <mergeCell ref="O297:Q297"/>
    <mergeCell ref="A295:AD295"/>
    <mergeCell ref="W200:X200"/>
    <mergeCell ref="H189:Z189"/>
    <mergeCell ref="U200:V200"/>
    <mergeCell ref="H194:I194"/>
    <mergeCell ref="S201:T201"/>
    <mergeCell ref="U201:V201"/>
    <mergeCell ref="AA199:AB199"/>
    <mergeCell ref="F262:I265"/>
    <mergeCell ref="Z313:AB313"/>
    <mergeCell ref="H314:J314"/>
    <mergeCell ref="K314:L314"/>
    <mergeCell ref="Q312:R312"/>
    <mergeCell ref="M201:N201"/>
    <mergeCell ref="AA200:AB200"/>
    <mergeCell ref="O200:P200"/>
    <mergeCell ref="Q200:R200"/>
    <mergeCell ref="Y200:Z200"/>
    <mergeCell ref="G203:H203"/>
    <mergeCell ref="K199:L199"/>
    <mergeCell ref="M199:N199"/>
    <mergeCell ref="J194:Z194"/>
    <mergeCell ref="AA285:AD286"/>
    <mergeCell ref="G260:Z260"/>
    <mergeCell ref="F239:G240"/>
    <mergeCell ref="J245:K245"/>
    <mergeCell ref="L245:M245"/>
    <mergeCell ref="H245:I245"/>
    <mergeCell ref="H359:AA359"/>
    <mergeCell ref="H303:AE303"/>
    <mergeCell ref="F245:G245"/>
    <mergeCell ref="J262:Z262"/>
    <mergeCell ref="AA262:AD262"/>
    <mergeCell ref="O279:Q279"/>
    <mergeCell ref="G261:Z261"/>
    <mergeCell ref="F258:Z258"/>
    <mergeCell ref="AA258:AD258"/>
    <mergeCell ref="G259:Z259"/>
    <mergeCell ref="AA259:AD259"/>
    <mergeCell ref="AA284:AD284"/>
    <mergeCell ref="AC306:AD306"/>
    <mergeCell ref="G285:Z285"/>
    <mergeCell ref="T306:V306"/>
    <mergeCell ref="H324:H325"/>
    <mergeCell ref="J282:N282"/>
    <mergeCell ref="H319:AE319"/>
    <mergeCell ref="P325:AA325"/>
    <mergeCell ref="AC313:AD313"/>
    <mergeCell ref="AB310:AE310"/>
    <mergeCell ref="Z245:AA245"/>
    <mergeCell ref="F309:G314"/>
    <mergeCell ref="AB322:AE323"/>
    <mergeCell ref="F319:G325"/>
    <mergeCell ref="H356:J356"/>
    <mergeCell ref="K356:L356"/>
    <mergeCell ref="F343:AC343"/>
    <mergeCell ref="J342:N342"/>
    <mergeCell ref="I322:AA322"/>
    <mergeCell ref="I325:O325"/>
    <mergeCell ref="AB324:AE325"/>
    <mergeCell ref="K313:L313"/>
    <mergeCell ref="T308:V308"/>
    <mergeCell ref="W308:X308"/>
    <mergeCell ref="H311:AE311"/>
    <mergeCell ref="AD298:AG298"/>
    <mergeCell ref="I320:AA320"/>
    <mergeCell ref="AA274:AD274"/>
    <mergeCell ref="AF315:AG316"/>
    <mergeCell ref="AF303:AG308"/>
    <mergeCell ref="F268:AD268"/>
    <mergeCell ref="AD316:AE316"/>
    <mergeCell ref="T314:V314"/>
    <mergeCell ref="W314:X314"/>
    <mergeCell ref="H318:AA318"/>
    <mergeCell ref="Z307:AB307"/>
    <mergeCell ref="J288:N288"/>
    <mergeCell ref="AF317:AG318"/>
    <mergeCell ref="AD318:AE318"/>
    <mergeCell ref="A280:AD280"/>
    <mergeCell ref="G286:L286"/>
    <mergeCell ref="T307:V307"/>
    <mergeCell ref="F285:F286"/>
    <mergeCell ref="F291:Z291"/>
    <mergeCell ref="Z306:AB306"/>
    <mergeCell ref="A277:E277"/>
    <mergeCell ref="A374:AG374"/>
    <mergeCell ref="H365:AE365"/>
    <mergeCell ref="Q354:R354"/>
    <mergeCell ref="F357:G357"/>
    <mergeCell ref="H357:AE357"/>
    <mergeCell ref="Z356:AB356"/>
    <mergeCell ref="Q356:R356"/>
    <mergeCell ref="T356:V356"/>
    <mergeCell ref="A343:E366"/>
    <mergeCell ref="W356:X356"/>
    <mergeCell ref="AD366:AE366"/>
    <mergeCell ref="O271:Q271"/>
    <mergeCell ref="A271:I271"/>
    <mergeCell ref="G301:AC301"/>
    <mergeCell ref="AD301:AG301"/>
    <mergeCell ref="AC307:AD307"/>
    <mergeCell ref="Q308:R308"/>
    <mergeCell ref="P323:Z323"/>
    <mergeCell ref="N314:P314"/>
    <mergeCell ref="Q314:R314"/>
    <mergeCell ref="H326:AE326"/>
    <mergeCell ref="AF326:AG328"/>
    <mergeCell ref="H366:AA366"/>
    <mergeCell ref="F303:G308"/>
    <mergeCell ref="A283:E286"/>
    <mergeCell ref="G299:AC299"/>
    <mergeCell ref="AD299:AG299"/>
    <mergeCell ref="AA283:AD283"/>
    <mergeCell ref="G284:Z284"/>
    <mergeCell ref="Z308:AB308"/>
    <mergeCell ref="F273:Z273"/>
    <mergeCell ref="H313:J313"/>
    <mergeCell ref="AA201:AB201"/>
    <mergeCell ref="A293:E293"/>
    <mergeCell ref="N308:P308"/>
    <mergeCell ref="N307:P307"/>
    <mergeCell ref="A288:I288"/>
    <mergeCell ref="J234:N234"/>
    <mergeCell ref="P244:Q244"/>
    <mergeCell ref="R244:S244"/>
    <mergeCell ref="S200:T200"/>
    <mergeCell ref="F189:G195"/>
    <mergeCell ref="AA194:AD194"/>
    <mergeCell ref="F181:AD181"/>
    <mergeCell ref="A186:E205"/>
    <mergeCell ref="L185:AD185"/>
    <mergeCell ref="AA198:AD198"/>
    <mergeCell ref="G199:H199"/>
    <mergeCell ref="I199:J199"/>
    <mergeCell ref="F185:K185"/>
    <mergeCell ref="G188:Z188"/>
    <mergeCell ref="AA188:AD188"/>
    <mergeCell ref="K263:Z263"/>
    <mergeCell ref="AA263:AD263"/>
    <mergeCell ref="K264:Z264"/>
    <mergeCell ref="A211:AG211"/>
    <mergeCell ref="G205:Z205"/>
    <mergeCell ref="AA205:AD205"/>
    <mergeCell ref="A206:E210"/>
    <mergeCell ref="A212:E212"/>
    <mergeCell ref="F212:AD212"/>
    <mergeCell ref="A213:E213"/>
    <mergeCell ref="F213:AD213"/>
    <mergeCell ref="L244:M244"/>
    <mergeCell ref="F134:Z134"/>
    <mergeCell ref="AA134:AD134"/>
    <mergeCell ref="G135:Z135"/>
    <mergeCell ref="AA135:AD135"/>
    <mergeCell ref="A222:E226"/>
    <mergeCell ref="AA187:AD187"/>
    <mergeCell ref="AA196:AD196"/>
    <mergeCell ref="K200:L200"/>
    <mergeCell ref="M200:N200"/>
    <mergeCell ref="F198:F201"/>
    <mergeCell ref="G198:Z198"/>
    <mergeCell ref="Q204:R204"/>
    <mergeCell ref="H193:I193"/>
    <mergeCell ref="J193:Z193"/>
    <mergeCell ref="I195:Z195"/>
    <mergeCell ref="Q201:R201"/>
    <mergeCell ref="A178:E178"/>
    <mergeCell ref="F178:K178"/>
    <mergeCell ref="O201:P201"/>
    <mergeCell ref="I201:J201"/>
    <mergeCell ref="AA202:AD202"/>
    <mergeCell ref="M203:N203"/>
    <mergeCell ref="O203:P203"/>
    <mergeCell ref="Q203:R203"/>
    <mergeCell ref="F196:G196"/>
    <mergeCell ref="H196:Z196"/>
    <mergeCell ref="K204:L204"/>
    <mergeCell ref="O204:P204"/>
    <mergeCell ref="AA204:AB204"/>
    <mergeCell ref="AA186:AD186"/>
    <mergeCell ref="AC199:AD199"/>
    <mergeCell ref="G200:H200"/>
    <mergeCell ref="G116:Z116"/>
    <mergeCell ref="AA116:AD116"/>
    <mergeCell ref="G161:Z161"/>
    <mergeCell ref="O112:Q112"/>
    <mergeCell ref="L174:AD174"/>
    <mergeCell ref="A175:E175"/>
    <mergeCell ref="G197:Z197"/>
    <mergeCell ref="AA197:AD197"/>
    <mergeCell ref="A174:E174"/>
    <mergeCell ref="F158:Z158"/>
    <mergeCell ref="A157:E157"/>
    <mergeCell ref="J156:N156"/>
    <mergeCell ref="J150:N150"/>
    <mergeCell ref="A170:E170"/>
    <mergeCell ref="O177:Q177"/>
    <mergeCell ref="O150:Q150"/>
    <mergeCell ref="J169:N169"/>
    <mergeCell ref="A164:E166"/>
    <mergeCell ref="F164:AD164"/>
    <mergeCell ref="F166:AD166"/>
    <mergeCell ref="A151:E151"/>
    <mergeCell ref="F170:K170"/>
    <mergeCell ref="G172:Z172"/>
    <mergeCell ref="A177:I177"/>
    <mergeCell ref="F171:Z171"/>
    <mergeCell ref="A158:E162"/>
    <mergeCell ref="I191:Z191"/>
    <mergeCell ref="AA191:AD191"/>
    <mergeCell ref="H192:I192"/>
    <mergeCell ref="F180:Z180"/>
    <mergeCell ref="AA180:AD180"/>
    <mergeCell ref="G187:Z187"/>
    <mergeCell ref="V62:AF63"/>
    <mergeCell ref="A68:AG68"/>
    <mergeCell ref="A133:E133"/>
    <mergeCell ref="F110:AD110"/>
    <mergeCell ref="G115:Z115"/>
    <mergeCell ref="A117:E117"/>
    <mergeCell ref="F117:AD117"/>
    <mergeCell ref="AA192:AD192"/>
    <mergeCell ref="AA195:AD195"/>
    <mergeCell ref="F186:Z186"/>
    <mergeCell ref="AA158:AD158"/>
    <mergeCell ref="F175:AD175"/>
    <mergeCell ref="F123:AD123"/>
    <mergeCell ref="AA115:AD115"/>
    <mergeCell ref="F113:K113"/>
    <mergeCell ref="F114:Z114"/>
    <mergeCell ref="J177:N177"/>
    <mergeCell ref="A112:I112"/>
    <mergeCell ref="F84:G84"/>
    <mergeCell ref="F85:H85"/>
    <mergeCell ref="F86:H86"/>
    <mergeCell ref="Y85:Z85"/>
    <mergeCell ref="Y86:Z86"/>
    <mergeCell ref="I85:T85"/>
    <mergeCell ref="I86:T86"/>
    <mergeCell ref="O119:Q119"/>
    <mergeCell ref="AA122:AD122"/>
    <mergeCell ref="A123:E123"/>
    <mergeCell ref="J119:N119"/>
    <mergeCell ref="A114:E116"/>
    <mergeCell ref="G102:Z102"/>
    <mergeCell ref="AA102:AD102"/>
    <mergeCell ref="Z51:AF51"/>
    <mergeCell ref="B47:E47"/>
    <mergeCell ref="V47:Y47"/>
    <mergeCell ref="Z44:AF44"/>
    <mergeCell ref="B49:E49"/>
    <mergeCell ref="B40:E40"/>
    <mergeCell ref="B41:E41"/>
    <mergeCell ref="AA161:AD161"/>
    <mergeCell ref="AA162:AD162"/>
    <mergeCell ref="B51:E51"/>
    <mergeCell ref="B52:E52"/>
    <mergeCell ref="F60:U60"/>
    <mergeCell ref="AE80:AG82"/>
    <mergeCell ref="B53:E53"/>
    <mergeCell ref="F53:U53"/>
    <mergeCell ref="V53:Y53"/>
    <mergeCell ref="Z53:AF53"/>
    <mergeCell ref="F52:U52"/>
    <mergeCell ref="Z52:AF52"/>
    <mergeCell ref="F78:G78"/>
    <mergeCell ref="F79:H79"/>
    <mergeCell ref="I79:Z79"/>
    <mergeCell ref="AA79:AD79"/>
    <mergeCell ref="B57:E57"/>
    <mergeCell ref="B63:E63"/>
    <mergeCell ref="AA81:AD81"/>
    <mergeCell ref="AE70:AG70"/>
    <mergeCell ref="AE71:AG71"/>
    <mergeCell ref="G72:Z72"/>
    <mergeCell ref="B60:E60"/>
    <mergeCell ref="B61:E61"/>
    <mergeCell ref="V56:AF61"/>
    <mergeCell ref="F58:U58"/>
    <mergeCell ref="F59:U59"/>
    <mergeCell ref="F62:U62"/>
    <mergeCell ref="G71:Z71"/>
    <mergeCell ref="AA71:AD71"/>
    <mergeCell ref="A67:AG67"/>
    <mergeCell ref="AA98:AD98"/>
    <mergeCell ref="Z40:AF40"/>
    <mergeCell ref="V49:Y49"/>
    <mergeCell ref="Z43:AF43"/>
    <mergeCell ref="F47:U47"/>
    <mergeCell ref="V41:Y41"/>
    <mergeCell ref="Z41:AF41"/>
    <mergeCell ref="Z46:AF46"/>
    <mergeCell ref="V52:Y52"/>
    <mergeCell ref="V50:Y50"/>
    <mergeCell ref="Z50:AF50"/>
    <mergeCell ref="Z42:AF42"/>
    <mergeCell ref="V51:Y51"/>
    <mergeCell ref="Z49:AF49"/>
    <mergeCell ref="B43:E43"/>
    <mergeCell ref="F43:U43"/>
    <mergeCell ref="Z47:AF47"/>
    <mergeCell ref="V46:Y46"/>
    <mergeCell ref="F40:U40"/>
    <mergeCell ref="V43:Y43"/>
    <mergeCell ref="F41:U41"/>
    <mergeCell ref="V44:Y44"/>
    <mergeCell ref="B42:E42"/>
    <mergeCell ref="F42:U42"/>
    <mergeCell ref="V42:Y42"/>
    <mergeCell ref="B46:E46"/>
    <mergeCell ref="D14:E14"/>
    <mergeCell ref="A13:C13"/>
    <mergeCell ref="R14:S14"/>
    <mergeCell ref="U14:V14"/>
    <mergeCell ref="K14:L14"/>
    <mergeCell ref="V32:Y32"/>
    <mergeCell ref="B35:E35"/>
    <mergeCell ref="F50:U50"/>
    <mergeCell ref="F51:U51"/>
    <mergeCell ref="G80:Z80"/>
    <mergeCell ref="AA73:AD73"/>
    <mergeCell ref="F74:G74"/>
    <mergeCell ref="A389:E389"/>
    <mergeCell ref="F389:G389"/>
    <mergeCell ref="H389:I389"/>
    <mergeCell ref="AD389:AE389"/>
    <mergeCell ref="F120:K120"/>
    <mergeCell ref="F63:U63"/>
    <mergeCell ref="A69:I69"/>
    <mergeCell ref="O69:Q69"/>
    <mergeCell ref="F70:Z70"/>
    <mergeCell ref="AA70:AD70"/>
    <mergeCell ref="AE83:AG87"/>
    <mergeCell ref="A98:E105"/>
    <mergeCell ref="F105:G105"/>
    <mergeCell ref="AA105:AD105"/>
    <mergeCell ref="A106:E110"/>
    <mergeCell ref="F107:AD107"/>
    <mergeCell ref="B62:E62"/>
    <mergeCell ref="B58:E58"/>
    <mergeCell ref="B59:E59"/>
    <mergeCell ref="F56:U56"/>
    <mergeCell ref="F108:AD108"/>
    <mergeCell ref="A150:I150"/>
    <mergeCell ref="AA290:AD290"/>
    <mergeCell ref="M160:Z160"/>
    <mergeCell ref="O184:Q184"/>
    <mergeCell ref="O288:Q288"/>
    <mergeCell ref="G300:AC300"/>
    <mergeCell ref="AD300:AG300"/>
    <mergeCell ref="A3:AD3"/>
    <mergeCell ref="W4:AD4"/>
    <mergeCell ref="A9:AG9"/>
    <mergeCell ref="P6:R6"/>
    <mergeCell ref="Z24:AF24"/>
    <mergeCell ref="V29:Y29"/>
    <mergeCell ref="V17:Y17"/>
    <mergeCell ref="B34:E34"/>
    <mergeCell ref="Z26:AF26"/>
    <mergeCell ref="B24:E24"/>
    <mergeCell ref="F24:U24"/>
    <mergeCell ref="B36:E36"/>
    <mergeCell ref="F38:U38"/>
    <mergeCell ref="S7:AD7"/>
    <mergeCell ref="M14:N14"/>
    <mergeCell ref="I10:K10"/>
    <mergeCell ref="F54:U54"/>
    <mergeCell ref="V54:Y54"/>
    <mergeCell ref="Z54:AF54"/>
    <mergeCell ref="B44:E44"/>
    <mergeCell ref="D10:F10"/>
    <mergeCell ref="D12:N12"/>
    <mergeCell ref="O12:Q12"/>
    <mergeCell ref="R12:Y12"/>
    <mergeCell ref="F477:AD477"/>
    <mergeCell ref="A465:E466"/>
    <mergeCell ref="A179:E180"/>
    <mergeCell ref="F179:Z179"/>
    <mergeCell ref="AA179:AD179"/>
    <mergeCell ref="F122:Z122"/>
    <mergeCell ref="AA172:AD172"/>
    <mergeCell ref="G173:Z173"/>
    <mergeCell ref="AA173:AD173"/>
    <mergeCell ref="AA171:AD171"/>
    <mergeCell ref="F152:Z152"/>
    <mergeCell ref="AA152:AD152"/>
    <mergeCell ref="F153:Z153"/>
    <mergeCell ref="A156:I156"/>
    <mergeCell ref="A234:I234"/>
    <mergeCell ref="W312:X312"/>
    <mergeCell ref="Z312:AB312"/>
    <mergeCell ref="G447:Z447"/>
    <mergeCell ref="A121:E122"/>
    <mergeCell ref="AA261:AD261"/>
    <mergeCell ref="AD388:AE388"/>
    <mergeCell ref="T388:U388"/>
    <mergeCell ref="V388:W388"/>
    <mergeCell ref="A126:E126"/>
    <mergeCell ref="F126:K126"/>
    <mergeCell ref="F174:K174"/>
    <mergeCell ref="AA189:AD189"/>
    <mergeCell ref="I190:Z190"/>
    <mergeCell ref="AA190:AD190"/>
    <mergeCell ref="J192:Z192"/>
    <mergeCell ref="F133:K133"/>
    <mergeCell ref="A134:E142"/>
    <mergeCell ref="AU1:AV1"/>
    <mergeCell ref="B17:E17"/>
    <mergeCell ref="F17:U17"/>
    <mergeCell ref="B18:E18"/>
    <mergeCell ref="F18:U18"/>
    <mergeCell ref="V18:Y18"/>
    <mergeCell ref="Z18:AF18"/>
    <mergeCell ref="AI18:AJ18"/>
    <mergeCell ref="AI17:AJ17"/>
    <mergeCell ref="A10:C10"/>
    <mergeCell ref="G10:H10"/>
    <mergeCell ref="L10:N10"/>
    <mergeCell ref="A11:C11"/>
    <mergeCell ref="D11:N11"/>
    <mergeCell ref="Z23:AF23"/>
    <mergeCell ref="F23:U23"/>
    <mergeCell ref="P14:Q14"/>
    <mergeCell ref="A12:C12"/>
    <mergeCell ref="H14:I14"/>
    <mergeCell ref="M15:N15"/>
    <mergeCell ref="Z22:AF22"/>
    <mergeCell ref="B20:E20"/>
    <mergeCell ref="AL17:AM17"/>
    <mergeCell ref="AL1:AM1"/>
    <mergeCell ref="D13:Y13"/>
    <mergeCell ref="R15:S15"/>
    <mergeCell ref="U15:V15"/>
    <mergeCell ref="W15:X15"/>
    <mergeCell ref="Z21:AF21"/>
    <mergeCell ref="F22:U22"/>
    <mergeCell ref="S6:AD6"/>
    <mergeCell ref="P7:R7"/>
    <mergeCell ref="B38:E38"/>
    <mergeCell ref="V35:Y35"/>
    <mergeCell ref="Z39:AF39"/>
    <mergeCell ref="V33:Y33"/>
    <mergeCell ref="Z33:AF33"/>
    <mergeCell ref="W14:X14"/>
    <mergeCell ref="F15:G15"/>
    <mergeCell ref="H15:I15"/>
    <mergeCell ref="Z17:AF17"/>
    <mergeCell ref="F14:G14"/>
    <mergeCell ref="V24:Y24"/>
    <mergeCell ref="F31:U31"/>
    <mergeCell ref="B28:E28"/>
    <mergeCell ref="B32:E32"/>
    <mergeCell ref="F33:U33"/>
    <mergeCell ref="F34:U34"/>
    <mergeCell ref="F35:U35"/>
    <mergeCell ref="F30:U30"/>
    <mergeCell ref="F20:U20"/>
    <mergeCell ref="F21:U21"/>
    <mergeCell ref="V26:Y26"/>
    <mergeCell ref="F26:U26"/>
    <mergeCell ref="F27:U27"/>
    <mergeCell ref="B21:E21"/>
    <mergeCell ref="B22:E22"/>
    <mergeCell ref="V21:Y21"/>
    <mergeCell ref="V22:Y22"/>
    <mergeCell ref="B26:E26"/>
    <mergeCell ref="B27:E27"/>
    <mergeCell ref="V23:Y23"/>
    <mergeCell ref="B33:E33"/>
    <mergeCell ref="F28:U28"/>
    <mergeCell ref="D15:E15"/>
    <mergeCell ref="V31:Y31"/>
    <mergeCell ref="Z31:AF31"/>
    <mergeCell ref="F36:U36"/>
    <mergeCell ref="Z30:AF30"/>
    <mergeCell ref="Z29:AF29"/>
    <mergeCell ref="V28:Y28"/>
    <mergeCell ref="Z36:AF36"/>
    <mergeCell ref="V30:Y30"/>
    <mergeCell ref="V36:Y36"/>
    <mergeCell ref="V20:Y20"/>
    <mergeCell ref="Z20:AF20"/>
    <mergeCell ref="Z28:AF28"/>
    <mergeCell ref="P15:Q15"/>
    <mergeCell ref="V27:Y27"/>
    <mergeCell ref="Z27:AF27"/>
    <mergeCell ref="B29:E29"/>
    <mergeCell ref="B30:E30"/>
    <mergeCell ref="Z32:AF32"/>
    <mergeCell ref="A16:AF16"/>
    <mergeCell ref="K15:L15"/>
    <mergeCell ref="V19:AF19"/>
    <mergeCell ref="F32:U32"/>
    <mergeCell ref="V34:Y34"/>
    <mergeCell ref="B31:E31"/>
    <mergeCell ref="F29:U29"/>
    <mergeCell ref="B23:E23"/>
    <mergeCell ref="Z25:AF25"/>
    <mergeCell ref="V25:Y25"/>
    <mergeCell ref="F25:U25"/>
    <mergeCell ref="B25:E25"/>
    <mergeCell ref="A14:C15"/>
    <mergeCell ref="I200:J200"/>
    <mergeCell ref="AA223:AD223"/>
    <mergeCell ref="S203:T203"/>
    <mergeCell ref="U203:V203"/>
    <mergeCell ref="W203:X203"/>
    <mergeCell ref="Y203:Z203"/>
    <mergeCell ref="AA203:AB203"/>
    <mergeCell ref="AC203:AD203"/>
    <mergeCell ref="G204:H204"/>
    <mergeCell ref="AA193:AD193"/>
    <mergeCell ref="G201:H201"/>
    <mergeCell ref="A169:I169"/>
    <mergeCell ref="G83:Z83"/>
    <mergeCell ref="N244:O244"/>
    <mergeCell ref="A154:E154"/>
    <mergeCell ref="F154:AD154"/>
    <mergeCell ref="F160:L160"/>
    <mergeCell ref="AD243:AG243"/>
    <mergeCell ref="AA225:AD226"/>
    <mergeCell ref="F157:K157"/>
    <mergeCell ref="F97:K97"/>
    <mergeCell ref="F93:K93"/>
    <mergeCell ref="A221:E221"/>
    <mergeCell ref="A132:I132"/>
    <mergeCell ref="J132:N132"/>
    <mergeCell ref="O132:Q132"/>
    <mergeCell ref="F109:AD109"/>
    <mergeCell ref="G136:Z136"/>
    <mergeCell ref="AA136:AD136"/>
    <mergeCell ref="G137:Z137"/>
    <mergeCell ref="AA137:AD137"/>
    <mergeCell ref="G138:Z138"/>
    <mergeCell ref="F336:AG336"/>
    <mergeCell ref="F247:AG247"/>
    <mergeCell ref="G159:Z159"/>
    <mergeCell ref="AA159:AD160"/>
    <mergeCell ref="AT388:AU388"/>
    <mergeCell ref="A388:E388"/>
    <mergeCell ref="F388:G388"/>
    <mergeCell ref="A386:AG386"/>
    <mergeCell ref="A387:E387"/>
    <mergeCell ref="AD385:AG385"/>
    <mergeCell ref="W355:X355"/>
    <mergeCell ref="N355:P355"/>
    <mergeCell ref="Z355:AB355"/>
    <mergeCell ref="AC355:AD355"/>
    <mergeCell ref="F379:AD379"/>
    <mergeCell ref="A381:I381"/>
    <mergeCell ref="O381:Q381"/>
    <mergeCell ref="O377:Q377"/>
    <mergeCell ref="AB359:AC359"/>
    <mergeCell ref="AB388:AC388"/>
    <mergeCell ref="A171:E173"/>
    <mergeCell ref="F208:AD208"/>
    <mergeCell ref="W204:X204"/>
    <mergeCell ref="Y204:Z204"/>
    <mergeCell ref="AC204:AD204"/>
    <mergeCell ref="A250:AG250"/>
    <mergeCell ref="A290:E292"/>
    <mergeCell ref="F292:Z292"/>
    <mergeCell ref="AA292:AD292"/>
    <mergeCell ref="W201:X201"/>
    <mergeCell ref="Y201:Z201"/>
    <mergeCell ref="K201:L201"/>
    <mergeCell ref="AZ388:BA388"/>
    <mergeCell ref="AR389:AS389"/>
    <mergeCell ref="AT389:AU389"/>
    <mergeCell ref="AV389:AW389"/>
    <mergeCell ref="AX389:AY389"/>
    <mergeCell ref="AZ389:BA389"/>
    <mergeCell ref="J377:N377"/>
    <mergeCell ref="AL389:AM389"/>
    <mergeCell ref="AN389:AO389"/>
    <mergeCell ref="AP389:AQ389"/>
    <mergeCell ref="N389:O389"/>
    <mergeCell ref="P389:Q389"/>
    <mergeCell ref="R389:S389"/>
    <mergeCell ref="Z389:AA389"/>
    <mergeCell ref="J388:K388"/>
    <mergeCell ref="L388:M388"/>
    <mergeCell ref="N388:O388"/>
    <mergeCell ref="P388:Q388"/>
    <mergeCell ref="R388:S388"/>
    <mergeCell ref="X388:Y388"/>
    <mergeCell ref="Z388:AA388"/>
    <mergeCell ref="AR388:AS388"/>
    <mergeCell ref="AV388:AW388"/>
    <mergeCell ref="AX388:AY388"/>
    <mergeCell ref="AL388:AM388"/>
    <mergeCell ref="AN388:AO388"/>
    <mergeCell ref="AP388:AQ388"/>
    <mergeCell ref="AD383:AG383"/>
    <mergeCell ref="J381:N381"/>
    <mergeCell ref="G384:AC384"/>
    <mergeCell ref="T389:U389"/>
    <mergeCell ref="V389:W389"/>
    <mergeCell ref="AZ390:BA390"/>
    <mergeCell ref="L390:M390"/>
    <mergeCell ref="J406:N406"/>
    <mergeCell ref="AN390:AO390"/>
    <mergeCell ref="AP390:AQ390"/>
    <mergeCell ref="V390:W390"/>
    <mergeCell ref="X393:Y393"/>
    <mergeCell ref="AX392:AY392"/>
    <mergeCell ref="AZ392:BA392"/>
    <mergeCell ref="AI392:AI393"/>
    <mergeCell ref="AL393:AM393"/>
    <mergeCell ref="AN393:AO393"/>
    <mergeCell ref="AP393:AQ393"/>
    <mergeCell ref="AR393:AS393"/>
    <mergeCell ref="AT393:AU393"/>
    <mergeCell ref="AV393:AW393"/>
    <mergeCell ref="AX393:AY393"/>
    <mergeCell ref="AZ393:BA393"/>
    <mergeCell ref="AL392:AM392"/>
    <mergeCell ref="V391:W391"/>
    <mergeCell ref="H402:AC402"/>
    <mergeCell ref="AI389:AI390"/>
    <mergeCell ref="O406:Q406"/>
    <mergeCell ref="H391:I391"/>
    <mergeCell ref="J391:K391"/>
    <mergeCell ref="L391:M391"/>
    <mergeCell ref="AX390:AY390"/>
    <mergeCell ref="J389:K389"/>
    <mergeCell ref="AB389:AC389"/>
    <mergeCell ref="X391:Y391"/>
    <mergeCell ref="Z391:AA391"/>
    <mergeCell ref="AB391:AC391"/>
    <mergeCell ref="AR390:AS390"/>
    <mergeCell ref="AT390:AU390"/>
    <mergeCell ref="AV390:AW390"/>
    <mergeCell ref="H393:I393"/>
    <mergeCell ref="J393:K393"/>
    <mergeCell ref="L393:M393"/>
    <mergeCell ref="N393:O393"/>
    <mergeCell ref="P393:Q393"/>
    <mergeCell ref="AB390:AC390"/>
    <mergeCell ref="AD390:AE390"/>
    <mergeCell ref="R390:S390"/>
    <mergeCell ref="T390:U390"/>
    <mergeCell ref="AL390:AM390"/>
    <mergeCell ref="N391:O391"/>
    <mergeCell ref="P391:Q391"/>
    <mergeCell ref="R391:S391"/>
    <mergeCell ref="AF392:AG393"/>
    <mergeCell ref="AN392:AO392"/>
    <mergeCell ref="AP392:AQ392"/>
    <mergeCell ref="AR392:AS392"/>
    <mergeCell ref="AT392:AU392"/>
    <mergeCell ref="AV392:AW392"/>
    <mergeCell ref="J392:K392"/>
    <mergeCell ref="L392:M392"/>
    <mergeCell ref="N392:O392"/>
    <mergeCell ref="P392:Q392"/>
    <mergeCell ref="R392:S392"/>
    <mergeCell ref="T392:U392"/>
    <mergeCell ref="V392:W392"/>
    <mergeCell ref="X392:Y392"/>
    <mergeCell ref="Z392:AA392"/>
    <mergeCell ref="AB392:AC392"/>
    <mergeCell ref="AD409:AG409"/>
    <mergeCell ref="V393:W393"/>
    <mergeCell ref="AD392:AE392"/>
    <mergeCell ref="A407:AG407"/>
    <mergeCell ref="G400:R400"/>
    <mergeCell ref="S400:AC400"/>
    <mergeCell ref="AD396:AG400"/>
    <mergeCell ref="A395:E402"/>
    <mergeCell ref="F395:AC395"/>
    <mergeCell ref="G396:AC396"/>
    <mergeCell ref="AD395:AG395"/>
    <mergeCell ref="A406:I406"/>
    <mergeCell ref="F403:AG403"/>
    <mergeCell ref="F404:AG404"/>
    <mergeCell ref="A403:E404"/>
    <mergeCell ref="AD391:AE391"/>
    <mergeCell ref="H390:I390"/>
    <mergeCell ref="J390:K390"/>
    <mergeCell ref="AF391:AG391"/>
    <mergeCell ref="X390:Y390"/>
    <mergeCell ref="AF389:AG390"/>
    <mergeCell ref="AX414:AY414"/>
    <mergeCell ref="AZ414:BA414"/>
    <mergeCell ref="A408:E410"/>
    <mergeCell ref="Z393:AA393"/>
    <mergeCell ref="AX413:AY413"/>
    <mergeCell ref="AZ413:BA413"/>
    <mergeCell ref="A412:E412"/>
    <mergeCell ref="AL414:AM414"/>
    <mergeCell ref="AN414:AO414"/>
    <mergeCell ref="AP414:AQ414"/>
    <mergeCell ref="AR414:AS414"/>
    <mergeCell ref="AT414:AU414"/>
    <mergeCell ref="AV414:AW414"/>
    <mergeCell ref="AL413:AM413"/>
    <mergeCell ref="AN413:AO413"/>
    <mergeCell ref="AP413:AQ413"/>
    <mergeCell ref="AR413:AS413"/>
    <mergeCell ref="AT413:AU413"/>
    <mergeCell ref="V413:W413"/>
    <mergeCell ref="X413:Y413"/>
    <mergeCell ref="Z413:AA413"/>
    <mergeCell ref="AB413:AC413"/>
    <mergeCell ref="AD413:AE413"/>
    <mergeCell ref="T414:U414"/>
    <mergeCell ref="V414:W414"/>
    <mergeCell ref="AV413:AW413"/>
    <mergeCell ref="J412:K412"/>
    <mergeCell ref="R393:S393"/>
    <mergeCell ref="T393:U393"/>
    <mergeCell ref="F408:AC408"/>
    <mergeCell ref="AD408:AG408"/>
    <mergeCell ref="G409:AC409"/>
    <mergeCell ref="N416:O416"/>
    <mergeCell ref="P416:Q416"/>
    <mergeCell ref="R416:S416"/>
    <mergeCell ref="T416:U416"/>
    <mergeCell ref="V416:W416"/>
    <mergeCell ref="X416:Y416"/>
    <mergeCell ref="Z416:AA416"/>
    <mergeCell ref="AB416:AC416"/>
    <mergeCell ref="AD416:AE416"/>
    <mergeCell ref="AI414:AI415"/>
    <mergeCell ref="A415:E415"/>
    <mergeCell ref="F414:G414"/>
    <mergeCell ref="L415:M415"/>
    <mergeCell ref="H415:I415"/>
    <mergeCell ref="J415:K415"/>
    <mergeCell ref="P415:Q415"/>
    <mergeCell ref="R415:S415"/>
    <mergeCell ref="T415:U415"/>
    <mergeCell ref="AF416:AG416"/>
    <mergeCell ref="V415:W415"/>
    <mergeCell ref="X415:Y415"/>
    <mergeCell ref="Z415:AA415"/>
    <mergeCell ref="H414:I414"/>
    <mergeCell ref="AZ417:BA417"/>
    <mergeCell ref="AL418:AM418"/>
    <mergeCell ref="AN418:AO418"/>
    <mergeCell ref="AP418:AQ418"/>
    <mergeCell ref="AR418:AS418"/>
    <mergeCell ref="AT418:AU418"/>
    <mergeCell ref="AV418:AW418"/>
    <mergeCell ref="AX418:AY418"/>
    <mergeCell ref="AZ418:BA418"/>
    <mergeCell ref="AP417:AQ417"/>
    <mergeCell ref="AR417:AS417"/>
    <mergeCell ref="AL417:AM417"/>
    <mergeCell ref="AN417:AO417"/>
    <mergeCell ref="AZ415:BA415"/>
    <mergeCell ref="AL415:AM415"/>
    <mergeCell ref="AN415:AO415"/>
    <mergeCell ref="AP415:AQ415"/>
    <mergeCell ref="AR415:AS415"/>
    <mergeCell ref="AT415:AU415"/>
    <mergeCell ref="AV415:AW415"/>
    <mergeCell ref="AX415:AY415"/>
    <mergeCell ref="F420:AC420"/>
    <mergeCell ref="AD420:AG420"/>
    <mergeCell ref="V417:W417"/>
    <mergeCell ref="X417:Y417"/>
    <mergeCell ref="Z417:AA417"/>
    <mergeCell ref="AB417:AC417"/>
    <mergeCell ref="AF417:AG418"/>
    <mergeCell ref="G410:AC410"/>
    <mergeCell ref="AD410:AG410"/>
    <mergeCell ref="A411:AG411"/>
    <mergeCell ref="F412:I412"/>
    <mergeCell ref="G421:AC421"/>
    <mergeCell ref="A419:AG419"/>
    <mergeCell ref="AT417:AU417"/>
    <mergeCell ref="AV417:AW417"/>
    <mergeCell ref="AX417:AY417"/>
    <mergeCell ref="AB415:AC415"/>
    <mergeCell ref="AD415:AE415"/>
    <mergeCell ref="AF414:AG415"/>
    <mergeCell ref="N417:O417"/>
    <mergeCell ref="P417:Q417"/>
    <mergeCell ref="R417:S417"/>
    <mergeCell ref="T417:U417"/>
    <mergeCell ref="AI417:AI418"/>
    <mergeCell ref="AD417:AE417"/>
    <mergeCell ref="N414:O414"/>
    <mergeCell ref="P414:Q414"/>
    <mergeCell ref="A416:E416"/>
    <mergeCell ref="F416:G416"/>
    <mergeCell ref="H416:I416"/>
    <mergeCell ref="J416:K416"/>
    <mergeCell ref="L416:M416"/>
    <mergeCell ref="F488:H488"/>
    <mergeCell ref="I488:Z488"/>
    <mergeCell ref="AA488:AD488"/>
    <mergeCell ref="A249:AG249"/>
    <mergeCell ref="F248:AG248"/>
    <mergeCell ref="A247:E248"/>
    <mergeCell ref="A251:AG251"/>
    <mergeCell ref="A294:E294"/>
    <mergeCell ref="F294:AD294"/>
    <mergeCell ref="AD359:AE359"/>
    <mergeCell ref="F365:G366"/>
    <mergeCell ref="I323:O323"/>
    <mergeCell ref="Z314:AB314"/>
    <mergeCell ref="AC314:AD314"/>
    <mergeCell ref="F315:G316"/>
    <mergeCell ref="H352:AA352"/>
    <mergeCell ref="AB352:AE352"/>
    <mergeCell ref="P418:Q418"/>
    <mergeCell ref="R418:S418"/>
    <mergeCell ref="T418:U418"/>
    <mergeCell ref="V418:W418"/>
    <mergeCell ref="X418:Y418"/>
    <mergeCell ref="N415:O415"/>
    <mergeCell ref="F415:G415"/>
    <mergeCell ref="L412:M412"/>
    <mergeCell ref="N412:O412"/>
    <mergeCell ref="A418:E418"/>
    <mergeCell ref="F418:G418"/>
    <mergeCell ref="H418:I418"/>
    <mergeCell ref="J418:K418"/>
    <mergeCell ref="L418:M418"/>
    <mergeCell ref="N418:O418"/>
    <mergeCell ref="G423:R423"/>
    <mergeCell ref="S423:AC423"/>
    <mergeCell ref="G424:R424"/>
    <mergeCell ref="S424:AC424"/>
    <mergeCell ref="F426:F427"/>
    <mergeCell ref="G426:AC426"/>
    <mergeCell ref="AD426:AG427"/>
    <mergeCell ref="H427:AC427"/>
    <mergeCell ref="A214:E214"/>
    <mergeCell ref="F214:AD214"/>
    <mergeCell ref="O219:Q219"/>
    <mergeCell ref="O234:Q234"/>
    <mergeCell ref="A235:E235"/>
    <mergeCell ref="A215:AG215"/>
    <mergeCell ref="AA239:AD240"/>
    <mergeCell ref="H240:M240"/>
    <mergeCell ref="N240:Z240"/>
    <mergeCell ref="G223:Z223"/>
    <mergeCell ref="F221:K221"/>
    <mergeCell ref="F222:Z222"/>
    <mergeCell ref="AA222:AD222"/>
    <mergeCell ref="AA224:AD224"/>
    <mergeCell ref="F224:F226"/>
    <mergeCell ref="G224:Z224"/>
    <mergeCell ref="V226:Z226"/>
    <mergeCell ref="V225:Z225"/>
    <mergeCell ref="J414:K414"/>
    <mergeCell ref="AF413:AG413"/>
    <mergeCell ref="J417:K417"/>
    <mergeCell ref="A417:E417"/>
    <mergeCell ref="F417:G417"/>
    <mergeCell ref="L417:M417"/>
    <mergeCell ref="F485:G486"/>
    <mergeCell ref="W307:X307"/>
    <mergeCell ref="A230:AG230"/>
    <mergeCell ref="AB244:AC244"/>
    <mergeCell ref="H307:J307"/>
    <mergeCell ref="AD244:AG244"/>
    <mergeCell ref="AB318:AC318"/>
    <mergeCell ref="O256:Q256"/>
    <mergeCell ref="W306:X306"/>
    <mergeCell ref="A267:E269"/>
    <mergeCell ref="F269:AD269"/>
    <mergeCell ref="A246:E246"/>
    <mergeCell ref="F257:K257"/>
    <mergeCell ref="A258:E266"/>
    <mergeCell ref="AA275:AD275"/>
    <mergeCell ref="AA265:AD265"/>
    <mergeCell ref="AA276:AD276"/>
    <mergeCell ref="A279:I279"/>
    <mergeCell ref="K265:Z265"/>
    <mergeCell ref="J256:N256"/>
    <mergeCell ref="N245:O245"/>
    <mergeCell ref="P245:Q245"/>
    <mergeCell ref="R245:S245"/>
    <mergeCell ref="F246:AC246"/>
    <mergeCell ref="G241:Z241"/>
    <mergeCell ref="F367:G368"/>
    <mergeCell ref="H367:AE368"/>
    <mergeCell ref="AF367:AG368"/>
    <mergeCell ref="T244:U244"/>
    <mergeCell ref="V244:W244"/>
    <mergeCell ref="X244:Y244"/>
    <mergeCell ref="Z244:AA244"/>
    <mergeCell ref="AS1:AT1"/>
    <mergeCell ref="A90:AG90"/>
    <mergeCell ref="A456:AG456"/>
    <mergeCell ref="G425:R425"/>
    <mergeCell ref="S425:AC425"/>
    <mergeCell ref="AD421:AG425"/>
    <mergeCell ref="A339:AG339"/>
    <mergeCell ref="A297:I297"/>
    <mergeCell ref="A375:AG375"/>
    <mergeCell ref="A428:E429"/>
    <mergeCell ref="F428:AG428"/>
    <mergeCell ref="F429:AG429"/>
    <mergeCell ref="G397:R397"/>
    <mergeCell ref="S397:V397"/>
    <mergeCell ref="X397:Y397"/>
    <mergeCell ref="AA397:AB397"/>
    <mergeCell ref="G398:R398"/>
    <mergeCell ref="S398:AC398"/>
    <mergeCell ref="G399:R399"/>
    <mergeCell ref="S399:AC399"/>
    <mergeCell ref="F401:F402"/>
    <mergeCell ref="G401:AC401"/>
    <mergeCell ref="AD401:AG402"/>
    <mergeCell ref="A420:E427"/>
    <mergeCell ref="G422:R422"/>
    <mergeCell ref="S422:V422"/>
    <mergeCell ref="X422:Y422"/>
    <mergeCell ref="AA422:AB422"/>
    <mergeCell ref="A127:E129"/>
    <mergeCell ref="F127:Z127"/>
    <mergeCell ref="A252:AG252"/>
    <mergeCell ref="Z34:AF34"/>
    <mergeCell ref="BB418:BC418"/>
    <mergeCell ref="BD418:BE418"/>
    <mergeCell ref="BF418:BG418"/>
    <mergeCell ref="BH418:BI418"/>
    <mergeCell ref="AA127:AD127"/>
    <mergeCell ref="BB393:BC393"/>
    <mergeCell ref="BD393:BE393"/>
    <mergeCell ref="BF393:BG393"/>
    <mergeCell ref="BH393:BI393"/>
    <mergeCell ref="BB413:BC413"/>
    <mergeCell ref="BD413:BE413"/>
    <mergeCell ref="BF413:BG413"/>
    <mergeCell ref="BH413:BI413"/>
    <mergeCell ref="BB414:BC414"/>
    <mergeCell ref="BD414:BE414"/>
    <mergeCell ref="BF414:BG414"/>
    <mergeCell ref="BH414:BI414"/>
    <mergeCell ref="BB415:BC415"/>
    <mergeCell ref="BD415:BE415"/>
    <mergeCell ref="BF415:BG415"/>
    <mergeCell ref="BH415:BI415"/>
    <mergeCell ref="AA128:AD128"/>
    <mergeCell ref="AA129:AD129"/>
    <mergeCell ref="F277:AD277"/>
    <mergeCell ref="F207:AD207"/>
    <mergeCell ref="I204:J204"/>
    <mergeCell ref="U204:V204"/>
    <mergeCell ref="AD242:AG242"/>
    <mergeCell ref="A219:I219"/>
    <mergeCell ref="F210:AD210"/>
    <mergeCell ref="S204:T204"/>
    <mergeCell ref="A220:AG220"/>
    <mergeCell ref="BB388:BC388"/>
    <mergeCell ref="BD388:BE388"/>
    <mergeCell ref="BF388:BG388"/>
    <mergeCell ref="BH388:BI388"/>
    <mergeCell ref="BB389:BC389"/>
    <mergeCell ref="BD389:BE389"/>
    <mergeCell ref="BF389:BG389"/>
    <mergeCell ref="BH389:BI389"/>
    <mergeCell ref="BB390:BC390"/>
    <mergeCell ref="BD390:BE390"/>
    <mergeCell ref="BF390:BG390"/>
    <mergeCell ref="BH390:BI390"/>
    <mergeCell ref="BB392:BC392"/>
    <mergeCell ref="BD392:BE392"/>
    <mergeCell ref="BF392:BG392"/>
    <mergeCell ref="BH392:BI392"/>
    <mergeCell ref="BB417:BC417"/>
    <mergeCell ref="BD417:BE417"/>
    <mergeCell ref="BF417:BG417"/>
    <mergeCell ref="BH417:BI417"/>
    <mergeCell ref="V40:Y40"/>
    <mergeCell ref="A120:E120"/>
    <mergeCell ref="F61:U61"/>
    <mergeCell ref="H82:Z82"/>
    <mergeCell ref="AA82:AD82"/>
    <mergeCell ref="F98:Z98"/>
    <mergeCell ref="B50:E50"/>
    <mergeCell ref="F46:U46"/>
    <mergeCell ref="F49:U49"/>
    <mergeCell ref="F44:U44"/>
    <mergeCell ref="A88:E88"/>
    <mergeCell ref="A93:E93"/>
    <mergeCell ref="A97:E97"/>
    <mergeCell ref="A119:I119"/>
    <mergeCell ref="Z35:AF35"/>
    <mergeCell ref="V39:Y39"/>
    <mergeCell ref="O92:Q92"/>
    <mergeCell ref="A70:E87"/>
    <mergeCell ref="J112:N112"/>
    <mergeCell ref="A113:E113"/>
    <mergeCell ref="F104:G104"/>
    <mergeCell ref="F106:AD106"/>
    <mergeCell ref="O96:Q96"/>
    <mergeCell ref="G101:Z101"/>
    <mergeCell ref="AA87:AD87"/>
    <mergeCell ref="AA80:AD80"/>
    <mergeCell ref="H77:Z77"/>
    <mergeCell ref="AA77:AD77"/>
    <mergeCell ref="F39:U39"/>
    <mergeCell ref="B39:E39"/>
    <mergeCell ref="V38:Y38"/>
    <mergeCell ref="Z38:AF38"/>
    <mergeCell ref="AA100:AD100"/>
    <mergeCell ref="H84:Z84"/>
    <mergeCell ref="U86:X86"/>
    <mergeCell ref="A96:I96"/>
    <mergeCell ref="G100:Z100"/>
    <mergeCell ref="H81:Z81"/>
    <mergeCell ref="F87:G87"/>
    <mergeCell ref="H87:Z87"/>
    <mergeCell ref="AA83:AD83"/>
    <mergeCell ref="F73:G73"/>
    <mergeCell ref="A94:AG94"/>
    <mergeCell ref="J96:N96"/>
    <mergeCell ref="AA72:AD72"/>
    <mergeCell ref="F81:G81"/>
    <mergeCell ref="AE72:AG75"/>
    <mergeCell ref="AE76:AG79"/>
    <mergeCell ref="F77:G77"/>
    <mergeCell ref="A92:I92"/>
    <mergeCell ref="J92:N92"/>
    <mergeCell ref="AA138:AD138"/>
    <mergeCell ref="G139:Z139"/>
    <mergeCell ref="AA139:AD139"/>
    <mergeCell ref="G140:Z140"/>
    <mergeCell ref="AA140:AD140"/>
    <mergeCell ref="G141:Z141"/>
    <mergeCell ref="AA141:AD141"/>
    <mergeCell ref="G142:Z142"/>
    <mergeCell ref="AA142:AD142"/>
    <mergeCell ref="A130:E130"/>
    <mergeCell ref="F130:AD130"/>
    <mergeCell ref="B54:E54"/>
    <mergeCell ref="B56:E56"/>
    <mergeCell ref="F57:U57"/>
    <mergeCell ref="AA75:AD75"/>
    <mergeCell ref="G76:Z76"/>
    <mergeCell ref="AA76:AD76"/>
    <mergeCell ref="F128:Z128"/>
    <mergeCell ref="F129:Z129"/>
    <mergeCell ref="H78:Z78"/>
    <mergeCell ref="AA78:AD78"/>
    <mergeCell ref="F82:G82"/>
    <mergeCell ref="AA84:AD86"/>
    <mergeCell ref="U85:X85"/>
    <mergeCell ref="J69:N69"/>
    <mergeCell ref="H73:Z73"/>
    <mergeCell ref="H74:Z74"/>
    <mergeCell ref="AA74:AD74"/>
    <mergeCell ref="F75:G75"/>
    <mergeCell ref="H75:Z75"/>
    <mergeCell ref="A64:AF65"/>
    <mergeCell ref="A66:AG66"/>
    <mergeCell ref="AJ367:AJ368"/>
    <mergeCell ref="F373:AG373"/>
    <mergeCell ref="A369:E373"/>
    <mergeCell ref="F329:G330"/>
    <mergeCell ref="H329:AE330"/>
    <mergeCell ref="AF329:AG330"/>
    <mergeCell ref="AJ329:AJ330"/>
    <mergeCell ref="AI329:AI330"/>
    <mergeCell ref="A298:E330"/>
    <mergeCell ref="F335:AG335"/>
    <mergeCell ref="A143:E144"/>
    <mergeCell ref="F143:AD143"/>
    <mergeCell ref="F144:AD144"/>
    <mergeCell ref="A145:AG145"/>
    <mergeCell ref="A146:AG146"/>
    <mergeCell ref="A147:AG147"/>
    <mergeCell ref="R413:S413"/>
    <mergeCell ref="H413:I413"/>
    <mergeCell ref="F413:G413"/>
    <mergeCell ref="A413:E413"/>
    <mergeCell ref="J413:K413"/>
    <mergeCell ref="L413:M413"/>
    <mergeCell ref="P413:Q413"/>
    <mergeCell ref="N413:O413"/>
    <mergeCell ref="AB245:AC245"/>
    <mergeCell ref="AD245:AG245"/>
    <mergeCell ref="A253:AG253"/>
    <mergeCell ref="AA266:AD266"/>
    <mergeCell ref="AD246:AG246"/>
    <mergeCell ref="T245:U245"/>
    <mergeCell ref="V245:W245"/>
    <mergeCell ref="A256:I256"/>
  </mergeCells>
  <phoneticPr fontId="1"/>
  <conditionalFormatting sqref="B18 B49:E53 J69 J112 J156 J184 J234 J297 J342 J377 J444 J458 J469">
    <cfRule type="containsText" dxfId="136" priority="11" operator="containsText" text="エラー">
      <formula>NOT(ISERROR(SEARCH("エラー",B18)))</formula>
    </cfRule>
  </conditionalFormatting>
  <conditionalFormatting sqref="B18:E18">
    <cfRule type="containsText" dxfId="135" priority="30" operator="containsText" text="×">
      <formula>NOT(ISERROR(SEARCH("×",B18)))</formula>
    </cfRule>
  </conditionalFormatting>
  <conditionalFormatting sqref="B20:E32">
    <cfRule type="containsText" dxfId="134" priority="80" operator="containsText" text="エラー">
      <formula>NOT(ISERROR(SEARCH("エラー",B20)))</formula>
    </cfRule>
  </conditionalFormatting>
  <conditionalFormatting sqref="B34:E35">
    <cfRule type="containsText" dxfId="133" priority="34" operator="containsText" text="エラー">
      <formula>NOT(ISERROR(SEARCH("エラー",B34)))</formula>
    </cfRule>
  </conditionalFormatting>
  <conditionalFormatting sqref="B39:E43">
    <cfRule type="containsText" dxfId="132" priority="33" operator="containsText" text="エラー">
      <formula>NOT(ISERROR(SEARCH("エラー",B39)))</formula>
    </cfRule>
  </conditionalFormatting>
  <conditionalFormatting sqref="B46:E47">
    <cfRule type="containsText" dxfId="131" priority="29" operator="containsText" text="未入力">
      <formula>NOT(ISERROR(SEARCH("未入力",B46)))</formula>
    </cfRule>
    <cfRule type="containsText" dxfId="130" priority="32" operator="containsText" text="エラー">
      <formula>NOT(ISERROR(SEARCH("エラー",B46)))</formula>
    </cfRule>
  </conditionalFormatting>
  <conditionalFormatting sqref="F389:AC390">
    <cfRule type="expression" dxfId="129" priority="418">
      <formula>AL$389="△"</formula>
    </cfRule>
  </conditionalFormatting>
  <conditionalFormatting sqref="F392:AC393">
    <cfRule type="expression" dxfId="128" priority="13">
      <formula>AL$392="△"</formula>
    </cfRule>
  </conditionalFormatting>
  <conditionalFormatting sqref="F414:AC415">
    <cfRule type="expression" dxfId="127" priority="420">
      <formula>AL$414="△"</formula>
    </cfRule>
  </conditionalFormatting>
  <conditionalFormatting sqref="F417:AC418">
    <cfRule type="expression" dxfId="126" priority="421">
      <formula>AL$417="△"</formula>
    </cfRule>
  </conditionalFormatting>
  <conditionalFormatting sqref="H402:AC402">
    <cfRule type="containsText" dxfId="125" priority="20" operator="containsText" text="エラー">
      <formula>NOT(ISERROR(SEARCH("エラー",H402)))</formula>
    </cfRule>
  </conditionalFormatting>
  <conditionalFormatting sqref="H427:AC427">
    <cfRule type="containsText" dxfId="124" priority="17" operator="containsText" text="エラー">
      <formula>NOT(ISERROR(SEARCH("エラー",H427)))</formula>
    </cfRule>
  </conditionalFormatting>
  <conditionalFormatting sqref="J69:N69">
    <cfRule type="containsText" dxfId="123" priority="12" operator="containsText" text="×">
      <formula>NOT(ISERROR(SEARCH("×",J69)))</formula>
    </cfRule>
  </conditionalFormatting>
  <conditionalFormatting sqref="J169:N169">
    <cfRule type="containsText" dxfId="122" priority="28" operator="containsText" text="エラー">
      <formula>NOT(ISERROR(SEARCH("エラー",J169)))</formula>
    </cfRule>
  </conditionalFormatting>
  <conditionalFormatting sqref="J381:N381">
    <cfRule type="containsText" dxfId="121" priority="19" operator="containsText" text="エラー">
      <formula>NOT(ISERROR(SEARCH("エラー",J381)))</formula>
    </cfRule>
  </conditionalFormatting>
  <conditionalFormatting sqref="J406:N406">
    <cfRule type="containsText" dxfId="120" priority="14" operator="containsText" text="エラー">
      <formula>NOT(ISERROR(SEARCH("エラー",J406)))</formula>
    </cfRule>
  </conditionalFormatting>
  <conditionalFormatting sqref="N240:Z240">
    <cfRule type="expression" dxfId="119" priority="36">
      <formula>$AI$238=1</formula>
    </cfRule>
  </conditionalFormatting>
  <conditionalFormatting sqref="S397 X397:Y397 AA397:AB397 S398:AC398 S399">
    <cfRule type="expression" dxfId="118" priority="21">
      <formula xml:space="preserve"> NOT($AI$381)</formula>
    </cfRule>
  </conditionalFormatting>
  <conditionalFormatting sqref="S400">
    <cfRule type="expression" dxfId="117" priority="16">
      <formula xml:space="preserve"> NOT($AI$225)</formula>
    </cfRule>
  </conditionalFormatting>
  <conditionalFormatting sqref="S422 X422:Y422 AA422:AB422 S423:AC423 S424">
    <cfRule type="expression" dxfId="116" priority="18">
      <formula xml:space="preserve"> NOT($AI$406)</formula>
    </cfRule>
  </conditionalFormatting>
  <conditionalFormatting sqref="S425">
    <cfRule type="expression" dxfId="115" priority="15">
      <formula xml:space="preserve"> NOT($AI$225)</formula>
    </cfRule>
  </conditionalFormatting>
  <conditionalFormatting sqref="Z40:AF40">
    <cfRule type="containsText" dxfId="114" priority="24" operator="containsText" text="変更有">
      <formula>NOT(ISERROR(SEARCH("変更有",Z40)))</formula>
    </cfRule>
  </conditionalFormatting>
  <conditionalFormatting sqref="AA73:AD73">
    <cfRule type="expression" dxfId="113" priority="105">
      <formula>OR($AI$74,$AI$75)</formula>
    </cfRule>
  </conditionalFormatting>
  <conditionalFormatting sqref="AA74:AD74">
    <cfRule type="expression" dxfId="112" priority="104">
      <formula>OR($AI$73,$AI$75)</formula>
    </cfRule>
  </conditionalFormatting>
  <conditionalFormatting sqref="AA75:AD75">
    <cfRule type="expression" dxfId="111" priority="103">
      <formula>OR($AI$73,$AI$74)</formula>
    </cfRule>
  </conditionalFormatting>
  <conditionalFormatting sqref="AA77:AD77">
    <cfRule type="expression" dxfId="110" priority="99">
      <formula>$AI$78</formula>
    </cfRule>
  </conditionalFormatting>
  <conditionalFormatting sqref="AA78:AD78">
    <cfRule type="expression" dxfId="109" priority="98">
      <formula>$AI$77</formula>
    </cfRule>
  </conditionalFormatting>
  <conditionalFormatting sqref="AA79:AD79">
    <cfRule type="expression" dxfId="108" priority="97">
      <formula>$W$15=0</formula>
    </cfRule>
  </conditionalFormatting>
  <conditionalFormatting sqref="AA81:AD81">
    <cfRule type="expression" dxfId="107" priority="102">
      <formula>$AI$82</formula>
    </cfRule>
  </conditionalFormatting>
  <conditionalFormatting sqref="AA82:AD82">
    <cfRule type="expression" dxfId="106" priority="101">
      <formula>$AI$81</formula>
    </cfRule>
  </conditionalFormatting>
  <conditionalFormatting sqref="AA104:AD104">
    <cfRule type="expression" dxfId="105" priority="96">
      <formula>$AA$103&lt;&gt;"×"</formula>
    </cfRule>
  </conditionalFormatting>
  <conditionalFormatting sqref="AA139:AD140 AA141">
    <cfRule type="expression" dxfId="104" priority="4">
      <formula>$AI$134</formula>
    </cfRule>
  </conditionalFormatting>
  <conditionalFormatting sqref="AA139:AD141">
    <cfRule type="expression" dxfId="103" priority="2">
      <formula>$AA$138="○"</formula>
    </cfRule>
  </conditionalFormatting>
  <conditionalFormatting sqref="AA162:AD163">
    <cfRule type="expression" dxfId="102" priority="7">
      <formula>$AA$161="○"</formula>
    </cfRule>
  </conditionalFormatting>
  <conditionalFormatting sqref="AA193:AD193">
    <cfRule type="expression" dxfId="101" priority="425">
      <formula>$AA$192&lt;&gt;"×"</formula>
    </cfRule>
  </conditionalFormatting>
  <conditionalFormatting sqref="AA195:AD195">
    <cfRule type="expression" dxfId="100" priority="41">
      <formula>NOT($AI$190)</formula>
    </cfRule>
  </conditionalFormatting>
  <conditionalFormatting sqref="AA196:AD196">
    <cfRule type="expression" dxfId="99" priority="39">
      <formula>$AI$189=1</formula>
    </cfRule>
  </conditionalFormatting>
  <conditionalFormatting sqref="AA202:AD202">
    <cfRule type="containsText" dxfId="98" priority="27" operator="containsText" text="不一致">
      <formula>NOT(ISERROR(SEARCH("不一致",AA202)))</formula>
    </cfRule>
  </conditionalFormatting>
  <conditionalFormatting sqref="AA238:AD238">
    <cfRule type="expression" dxfId="97" priority="45">
      <formula>$AI$239=1</formula>
    </cfRule>
  </conditionalFormatting>
  <conditionalFormatting sqref="AA239:AD240">
    <cfRule type="expression" dxfId="96" priority="46">
      <formula>$AI$238=1</formula>
    </cfRule>
  </conditionalFormatting>
  <conditionalFormatting sqref="AA263:AD265">
    <cfRule type="expression" dxfId="95" priority="91">
      <formula>$AA$261&lt;&gt;"×"</formula>
    </cfRule>
  </conditionalFormatting>
  <conditionalFormatting sqref="AA485:AD485">
    <cfRule type="expression" dxfId="94" priority="23">
      <formula>$AI$486</formula>
    </cfRule>
  </conditionalFormatting>
  <conditionalFormatting sqref="AA485:AD486 AA488">
    <cfRule type="expression" dxfId="93" priority="8">
      <formula>$AI$489</formula>
    </cfRule>
  </conditionalFormatting>
  <conditionalFormatting sqref="AA485:AD486">
    <cfRule type="expression" dxfId="92" priority="10">
      <formula>AND($AI$485,$AI$486)</formula>
    </cfRule>
  </conditionalFormatting>
  <conditionalFormatting sqref="AA486:AD486">
    <cfRule type="expression" dxfId="91" priority="22">
      <formula>$AI$485</formula>
    </cfRule>
  </conditionalFormatting>
  <conditionalFormatting sqref="AA489:AD489">
    <cfRule type="expression" dxfId="90" priority="9">
      <formula>$AI$484</formula>
    </cfRule>
  </conditionalFormatting>
  <dataValidations count="27">
    <dataValidation type="list" allowBlank="1" showInputMessage="1" showErrorMessage="1" sqref="B33 B44 B38" xr:uid="{00000000-0002-0000-0400-000000000000}">
      <formula1>"○"</formula1>
    </dataValidation>
    <dataValidation type="whole" allowBlank="1" showInputMessage="1" showErrorMessage="1" sqref="F387:I387" xr:uid="{00000000-0002-0000-0400-000001000000}">
      <formula1>1950</formula1>
      <formula2>AK2+1</formula2>
    </dataValidation>
    <dataValidation type="decimal" allowBlank="1" showInputMessage="1" showErrorMessage="1" errorTitle="1日当たりの時間数を入れてください" sqref="U85:X86" xr:uid="{00000000-0002-0000-0400-000002000000}">
      <formula1>1</formula1>
      <formula2>11</formula2>
    </dataValidation>
    <dataValidation type="list" allowBlank="1" showInputMessage="1" showErrorMessage="1" sqref="AO4" xr:uid="{00000000-0002-0000-0400-000003000000}">
      <formula1>"有,無"</formula1>
    </dataValidation>
    <dataValidation allowBlank="1" showInputMessage="1" showErrorMessage="1" promptTitle="入力時のポイント" prompt="記載例を削除して入力してください。" sqref="F294" xr:uid="{00000000-0002-0000-0400-000004000000}"/>
    <dataValidation type="whole" operator="lessThanOrEqual" allowBlank="1" showInputMessage="1" sqref="G200:AD201" xr:uid="{00000000-0002-0000-0400-000005000000}">
      <formula1>#REF!</formula1>
    </dataValidation>
    <dataValidation type="whole" operator="lessThanOrEqual" allowBlank="1" showInputMessage="1" showErrorMessage="1" sqref="G204:AD204" xr:uid="{00000000-0002-0000-0400-000006000000}">
      <formula1>G$170</formula1>
    </dataValidation>
    <dataValidation type="list" allowBlank="1" showInputMessage="1" showErrorMessage="1" sqref="F174:K174" xr:uid="{00000000-0002-0000-0400-000007000000}">
      <formula1>$AT$2:$AT$15</formula1>
    </dataValidation>
    <dataValidation type="list" showErrorMessage="1" prompt="_x000a_" sqref="V38:Y44 V20:Y35 V49:Y54" xr:uid="{00000000-0002-0000-0400-000008000000}">
      <formula1>$AL$2:$AL$14</formula1>
    </dataValidation>
    <dataValidation type="list" showInputMessage="1" showErrorMessage="1" sqref="I10 AB316:AC316 AB318:AC318" xr:uid="{00000000-0002-0000-0400-000009000000}">
      <formula1>$AL$2:$AL$14</formula1>
    </dataValidation>
    <dataValidation type="list" allowBlank="1" showInputMessage="1" showErrorMessage="1" sqref="D11:N11" xr:uid="{36E73D27-44B9-4716-A776-33518D2F59B6}">
      <formula1>$AN$2:$AN$12</formula1>
    </dataValidation>
    <dataValidation type="list" allowBlank="1" showInputMessage="1" showErrorMessage="1" sqref="AA436 AA73:AD75 AA71:AD71 AA285 AA103:AD104 AA485:AA486 AA162:AD163 AA464 AA192:AD193 AA259:AD261 AA263:AD265 AA274:AD276 AA223:AD223 AA81:AD82 AD242:AG242 AB362:AE363 AA482 AA488:AA489 AA238:AA239 AA190:AD190 AA195:AD196 AA99:AD101 AA173:AD173 AA77:AA79 AB77:AD78 AD300:AD301 AF329:AG330 AD345:AD346 AA136:AD136 AA139:AA141 AB139:AD140 AA138:AD138 AA142:AD142 AB328 AF367:AG368" xr:uid="{00000000-0002-0000-0400-00000B000000}">
      <formula1>$AP$2:$AP$4</formula1>
    </dataValidation>
    <dataValidation type="list" allowBlank="1" showInputMessage="1" showErrorMessage="1" sqref="F93:K93 F97:K97 F113:K113 F120:K120 F151:K151 F157:K157 F170:K170 F178:K178 F185:K185 F221:K221 F235:K235 F257:K257 F272:K272 F432:K432 F445:K445 F459:K459 F470:K470 F480:K480 F126:K126 F133:K133" xr:uid="{00000000-0002-0000-0400-00000C000000}">
      <formula1>$AQ$2:$AQ$4</formula1>
    </dataValidation>
    <dataValidation type="list" allowBlank="1" showErrorMessage="1" prompt="_x000a_" sqref="V36:Y36" xr:uid="{00000000-0002-0000-0400-00000D000000}">
      <formula1>$AL$2:$AL$14</formula1>
    </dataValidation>
    <dataValidation type="list" showInputMessage="1" showErrorMessage="1" sqref="X349" xr:uid="{00000000-0002-0000-0400-00000E000000}">
      <formula1>$AP$2:$AP$3</formula1>
    </dataValidation>
    <dataValidation type="list" allowBlank="1" showInputMessage="1" showErrorMessage="1" sqref="X422:Y422 X350 X397:Y397 L387:M387 AB359:AC359 AB364:AE364" xr:uid="{00000000-0002-0000-0400-00000F000000}">
      <formula1>$AL$2:$AL$14</formula1>
    </dataValidation>
    <dataValidation type="list" errorStyle="warning" showErrorMessage="1" prompt="_x000a_" sqref="V46:Y47" xr:uid="{00000000-0002-0000-0400-000010000000}">
      <formula1>$AL$2:$AL$14</formula1>
    </dataValidation>
    <dataValidation type="list" errorStyle="warning" allowBlank="1" showInputMessage="1" showErrorMessage="1" sqref="L412:M412 AB366:AC366" xr:uid="{00000000-0002-0000-0400-000011000000}">
      <formula1>$AL$2:$AL$14</formula1>
    </dataValidation>
    <dataValidation type="list" allowBlank="1" showInputMessage="1" showErrorMessage="1" sqref="AB304:AE304 AB352:AE352 AB310:AE310" xr:uid="{00000000-0002-0000-0400-000012000000}">
      <formula1>$AZ$2:$AZ$6</formula1>
    </dataValidation>
    <dataValidation type="list" allowBlank="1" showInputMessage="1" showErrorMessage="1" sqref="S398:AC398 S423:AC423" xr:uid="{00000000-0002-0000-0400-000013000000}">
      <formula1>$AY$2:$AY$4</formula1>
    </dataValidation>
    <dataValidation type="list" allowBlank="1" showInputMessage="1" showErrorMessage="1" sqref="AA397:AB397 AA422:AB422" xr:uid="{00000000-0002-0000-0400-000014000000}">
      <formula1>$AX$2:$AX$35</formula1>
    </dataValidation>
    <dataValidation type="list" allowBlank="1" showInputMessage="1" showErrorMessage="1" sqref="D12:N12" xr:uid="{80D7AED2-7DA0-4CA5-9604-3D3ED175FFCB}">
      <formula1>INDIRECT($D$11&amp;$AO$2)</formula1>
    </dataValidation>
    <dataValidation type="whole" allowBlank="1" showInputMessage="1" showErrorMessage="1" sqref="F412:I412" xr:uid="{00000000-0002-0000-0400-000016000000}">
      <formula1>1950</formula1>
      <formula2>AK2+1</formula2>
    </dataValidation>
    <dataValidation type="whole" operator="greaterThanOrEqual" allowBlank="1" showInputMessage="1" showErrorMessage="1" sqref="S397:V397" xr:uid="{00000000-0002-0000-0400-000017000000}">
      <formula1>AK2-1</formula1>
    </dataValidation>
    <dataValidation type="whole" operator="greaterThanOrEqual" allowBlank="1" showInputMessage="1" showErrorMessage="1" sqref="S422:V422" xr:uid="{00000000-0002-0000-0400-000018000000}">
      <formula1>AK2-1</formula1>
    </dataValidation>
    <dataValidation type="list" allowBlank="1" showInputMessage="1" showErrorMessage="1" sqref="W324:AA324" xr:uid="{01C8A9DF-68F9-4BD4-8ABB-CAC23882455D}">
      <formula1>$AI$325:$AI$327</formula1>
    </dataValidation>
    <dataValidation type="list" allowBlank="1" showInputMessage="1" showErrorMessage="1" sqref="R12:Y12" xr:uid="{69E3399F-ED28-4C3F-AA72-E6840E8593C2}">
      <formula1>$AI$8:$AI$11</formula1>
    </dataValidation>
  </dataValidations>
  <printOptions horizontalCentered="1"/>
  <pageMargins left="0.59055118110236227" right="0.19685039370078741" top="0.39370078740157483" bottom="0.39370078740157483" header="0.31496062992125984" footer="0.31496062992125984"/>
  <pageSetup paperSize="9" scale="99" fitToHeight="0" orientation="portrait" r:id="rId1"/>
  <rowBreaks count="13" manualBreakCount="13">
    <brk id="65" max="32" man="1"/>
    <brk id="110" max="32" man="1"/>
    <brk id="182" max="32" man="1"/>
    <brk id="218" max="32" man="1"/>
    <brk id="232" max="32" man="1"/>
    <brk id="254" max="32" man="1"/>
    <brk id="280" max="32" man="1"/>
    <brk id="296" max="32" man="1"/>
    <brk id="339" max="32" man="1"/>
    <brk id="376" max="32" man="1"/>
    <brk id="405" max="32" man="1"/>
    <brk id="429" max="32" man="1"/>
    <brk id="467" max="3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F0"/>
    <pageSetUpPr fitToPage="1"/>
  </sheetPr>
  <dimension ref="A1:M106"/>
  <sheetViews>
    <sheetView view="pageBreakPreview" zoomScale="90" zoomScaleNormal="100" zoomScaleSheetLayoutView="90" workbookViewId="0">
      <selection activeCell="D5" sqref="D5:I5"/>
    </sheetView>
  </sheetViews>
  <sheetFormatPr defaultColWidth="9" defaultRowHeight="12" outlineLevelCol="1"/>
  <cols>
    <col min="1" max="1" width="6.25" style="73" customWidth="1"/>
    <col min="2" max="2" width="18.25" style="73" customWidth="1"/>
    <col min="3" max="3" width="10" style="73" bestFit="1" customWidth="1"/>
    <col min="4" max="4" width="18.25" style="73" customWidth="1"/>
    <col min="5" max="5" width="9" style="73"/>
    <col min="6" max="6" width="6.25" style="73" customWidth="1"/>
    <col min="7" max="7" width="18.25" style="73" customWidth="1"/>
    <col min="8" max="8" width="10" style="73" bestFit="1" customWidth="1"/>
    <col min="9" max="9" width="18.25" style="73" customWidth="1"/>
    <col min="10" max="10" width="50.625" style="73" customWidth="1"/>
    <col min="11" max="12" width="9" style="73" hidden="1" customWidth="1" outlineLevel="1"/>
    <col min="13" max="13" width="9" style="73" collapsed="1"/>
    <col min="14" max="16384" width="9" style="73"/>
  </cols>
  <sheetData>
    <row r="1" spans="1:12" ht="15" customHeight="1">
      <c r="A1" s="700" t="s">
        <v>642</v>
      </c>
      <c r="B1" s="664"/>
      <c r="C1" s="664"/>
      <c r="D1" s="664"/>
      <c r="E1" s="664"/>
      <c r="F1" s="664"/>
      <c r="G1" s="2137" t="str">
        <f>K2&amp;"別紙1"&amp;K3</f>
        <v>加-25_4月申-別紙1-認_Ver.4.02</v>
      </c>
      <c r="H1" s="2137"/>
      <c r="I1" s="2137"/>
      <c r="K1" s="264" t="s">
        <v>1163</v>
      </c>
      <c r="L1" s="937" t="s">
        <v>317</v>
      </c>
    </row>
    <row r="2" spans="1:12" ht="15" customHeight="1">
      <c r="A2" s="664"/>
      <c r="B2" s="664"/>
      <c r="C2" s="664"/>
      <c r="D2" s="664"/>
      <c r="E2" s="664"/>
      <c r="F2" s="664"/>
      <c r="G2" s="1009"/>
      <c r="H2" s="1009"/>
      <c r="I2" s="1009"/>
      <c r="K2" s="264" t="str">
        <f>【様式１】総括表・個票!$AJ$2</f>
        <v>加-25_4月申-</v>
      </c>
      <c r="L2" s="937"/>
    </row>
    <row r="3" spans="1:12" ht="15" customHeight="1" thickBot="1">
      <c r="A3" s="700" t="s">
        <v>477</v>
      </c>
      <c r="B3" s="664"/>
      <c r="C3" s="664"/>
      <c r="D3" s="664"/>
      <c r="E3" s="664"/>
      <c r="F3" s="701"/>
      <c r="G3" s="702"/>
      <c r="H3" s="701"/>
      <c r="I3" s="702"/>
      <c r="K3" s="264" t="str">
        <f>【様式１】総括表・個票!$AJ$3</f>
        <v>-認_Ver.4.02</v>
      </c>
      <c r="L3" s="71" t="s">
        <v>318</v>
      </c>
    </row>
    <row r="4" spans="1:12" ht="15" customHeight="1">
      <c r="A4" s="2138" t="s">
        <v>319</v>
      </c>
      <c r="B4" s="2132" t="s">
        <v>103</v>
      </c>
      <c r="C4" s="2132"/>
      <c r="D4" s="2132" t="s">
        <v>320</v>
      </c>
      <c r="E4" s="2132"/>
      <c r="F4" s="2132"/>
      <c r="G4" s="2132"/>
      <c r="H4" s="2132"/>
      <c r="I4" s="2133"/>
      <c r="L4" s="71" t="s">
        <v>321</v>
      </c>
    </row>
    <row r="5" spans="1:12" ht="15" customHeight="1">
      <c r="A5" s="2139"/>
      <c r="B5" s="2141" t="s">
        <v>10</v>
      </c>
      <c r="C5" s="2141"/>
      <c r="D5" s="2142"/>
      <c r="E5" s="2142"/>
      <c r="F5" s="2142"/>
      <c r="G5" s="2142"/>
      <c r="H5" s="2142"/>
      <c r="I5" s="2143"/>
    </row>
    <row r="6" spans="1:12" ht="15" customHeight="1" thickBot="1">
      <c r="A6" s="2139"/>
      <c r="B6" s="2144" t="s">
        <v>322</v>
      </c>
      <c r="C6" s="2144"/>
      <c r="D6" s="2145"/>
      <c r="E6" s="2145"/>
      <c r="F6" s="2145"/>
      <c r="G6" s="2145"/>
      <c r="H6" s="2145"/>
      <c r="I6" s="2146"/>
    </row>
    <row r="7" spans="1:12" ht="15" hidden="1" customHeight="1">
      <c r="A7" s="2139"/>
      <c r="B7" s="2144" t="s">
        <v>323</v>
      </c>
      <c r="C7" s="2144"/>
      <c r="D7" s="2150"/>
      <c r="E7" s="2150"/>
      <c r="F7" s="2150"/>
      <c r="G7" s="2150"/>
      <c r="H7" s="2150"/>
      <c r="I7" s="2151"/>
    </row>
    <row r="8" spans="1:12" ht="15" hidden="1" customHeight="1" thickBot="1">
      <c r="A8" s="2140"/>
      <c r="B8" s="2152" t="s">
        <v>324</v>
      </c>
      <c r="C8" s="2152"/>
      <c r="D8" s="2153"/>
      <c r="E8" s="2153"/>
      <c r="F8" s="2153"/>
      <c r="G8" s="2153"/>
      <c r="H8" s="2153"/>
      <c r="I8" s="2154"/>
    </row>
    <row r="9" spans="1:12" ht="15" customHeight="1">
      <c r="A9" s="2129" t="s">
        <v>325</v>
      </c>
      <c r="B9" s="2132" t="s">
        <v>591</v>
      </c>
      <c r="C9" s="2132"/>
      <c r="D9" s="2132" t="s">
        <v>326</v>
      </c>
      <c r="E9" s="2132"/>
      <c r="F9" s="2132"/>
      <c r="G9" s="2132"/>
      <c r="H9" s="2132"/>
      <c r="I9" s="2133"/>
    </row>
    <row r="10" spans="1:12" ht="15" customHeight="1">
      <c r="A10" s="2130"/>
      <c r="B10" s="2134"/>
      <c r="C10" s="2134"/>
      <c r="D10" s="2135"/>
      <c r="E10" s="2135"/>
      <c r="F10" s="2135"/>
      <c r="G10" s="2135"/>
      <c r="H10" s="2135"/>
      <c r="I10" s="2136"/>
    </row>
    <row r="11" spans="1:12" ht="15" customHeight="1">
      <c r="A11" s="2130"/>
      <c r="B11" s="2147"/>
      <c r="C11" s="2147"/>
      <c r="D11" s="2148"/>
      <c r="E11" s="2148"/>
      <c r="F11" s="2148"/>
      <c r="G11" s="2148"/>
      <c r="H11" s="2148"/>
      <c r="I11" s="2149"/>
    </row>
    <row r="12" spans="1:12" ht="15" customHeight="1">
      <c r="A12" s="2130"/>
      <c r="B12" s="2147"/>
      <c r="C12" s="2147"/>
      <c r="D12" s="2148"/>
      <c r="E12" s="2148"/>
      <c r="F12" s="2148"/>
      <c r="G12" s="2148"/>
      <c r="H12" s="2148"/>
      <c r="I12" s="2149"/>
    </row>
    <row r="13" spans="1:12" ht="15" customHeight="1">
      <c r="A13" s="2130"/>
      <c r="B13" s="2147"/>
      <c r="C13" s="2147"/>
      <c r="D13" s="2148"/>
      <c r="E13" s="2148"/>
      <c r="F13" s="2148"/>
      <c r="G13" s="2148"/>
      <c r="H13" s="2148"/>
      <c r="I13" s="2149"/>
    </row>
    <row r="14" spans="1:12" ht="15" customHeight="1">
      <c r="A14" s="2130"/>
      <c r="B14" s="2147"/>
      <c r="C14" s="2147"/>
      <c r="D14" s="2148"/>
      <c r="E14" s="2148"/>
      <c r="F14" s="2148"/>
      <c r="G14" s="2148"/>
      <c r="H14" s="2148"/>
      <c r="I14" s="2149"/>
    </row>
    <row r="15" spans="1:12" ht="15" customHeight="1">
      <c r="A15" s="2130"/>
      <c r="B15" s="2147"/>
      <c r="C15" s="2147"/>
      <c r="D15" s="2148"/>
      <c r="E15" s="2148"/>
      <c r="F15" s="2148"/>
      <c r="G15" s="2148"/>
      <c r="H15" s="2148"/>
      <c r="I15" s="2149"/>
    </row>
    <row r="16" spans="1:12" ht="15" customHeight="1">
      <c r="A16" s="2130"/>
      <c r="B16" s="2147"/>
      <c r="C16" s="2147"/>
      <c r="D16" s="2148"/>
      <c r="E16" s="2148"/>
      <c r="F16" s="2148"/>
      <c r="G16" s="2148"/>
      <c r="H16" s="2148"/>
      <c r="I16" s="2149"/>
    </row>
    <row r="17" spans="1:9" ht="15" customHeight="1">
      <c r="A17" s="2130"/>
      <c r="B17" s="2147"/>
      <c r="C17" s="2147"/>
      <c r="D17" s="2148"/>
      <c r="E17" s="2148"/>
      <c r="F17" s="2148"/>
      <c r="G17" s="2148"/>
      <c r="H17" s="2148"/>
      <c r="I17" s="2149"/>
    </row>
    <row r="18" spans="1:9" ht="15" customHeight="1">
      <c r="A18" s="2130"/>
      <c r="B18" s="2147"/>
      <c r="C18" s="2147"/>
      <c r="D18" s="2148"/>
      <c r="E18" s="2148"/>
      <c r="F18" s="2148"/>
      <c r="G18" s="2148"/>
      <c r="H18" s="2148"/>
      <c r="I18" s="2149"/>
    </row>
    <row r="19" spans="1:9" ht="15" customHeight="1" thickBot="1">
      <c r="A19" s="2131"/>
      <c r="B19" s="2155"/>
      <c r="C19" s="2155"/>
      <c r="D19" s="2156"/>
      <c r="E19" s="2156"/>
      <c r="F19" s="2156"/>
      <c r="G19" s="2156"/>
      <c r="H19" s="2156"/>
      <c r="I19" s="2157"/>
    </row>
    <row r="20" spans="1:9" ht="15" customHeight="1">
      <c r="A20" s="2129" t="s">
        <v>327</v>
      </c>
      <c r="B20" s="2132" t="s">
        <v>591</v>
      </c>
      <c r="C20" s="2132"/>
      <c r="D20" s="2132" t="s">
        <v>328</v>
      </c>
      <c r="E20" s="2132"/>
      <c r="F20" s="2132"/>
      <c r="G20" s="2132"/>
      <c r="H20" s="2132"/>
      <c r="I20" s="2133"/>
    </row>
    <row r="21" spans="1:9" ht="15" customHeight="1">
      <c r="A21" s="2130"/>
      <c r="B21" s="2134"/>
      <c r="C21" s="2134"/>
      <c r="D21" s="2135"/>
      <c r="E21" s="2135"/>
      <c r="F21" s="2135"/>
      <c r="G21" s="2135"/>
      <c r="H21" s="2135"/>
      <c r="I21" s="2136"/>
    </row>
    <row r="22" spans="1:9" ht="15" customHeight="1">
      <c r="A22" s="2130"/>
      <c r="B22" s="2147"/>
      <c r="C22" s="2147"/>
      <c r="D22" s="2148"/>
      <c r="E22" s="2148"/>
      <c r="F22" s="2148"/>
      <c r="G22" s="2148"/>
      <c r="H22" s="2148"/>
      <c r="I22" s="2149"/>
    </row>
    <row r="23" spans="1:9" ht="15" customHeight="1">
      <c r="A23" s="2130"/>
      <c r="B23" s="2147"/>
      <c r="C23" s="2147"/>
      <c r="D23" s="2148"/>
      <c r="E23" s="2148"/>
      <c r="F23" s="2148"/>
      <c r="G23" s="2148"/>
      <c r="H23" s="2148"/>
      <c r="I23" s="2149"/>
    </row>
    <row r="24" spans="1:9" ht="15" customHeight="1">
      <c r="A24" s="2130"/>
      <c r="B24" s="2147"/>
      <c r="C24" s="2147"/>
      <c r="D24" s="2148"/>
      <c r="E24" s="2148"/>
      <c r="F24" s="2148"/>
      <c r="G24" s="2148"/>
      <c r="H24" s="2148"/>
      <c r="I24" s="2149"/>
    </row>
    <row r="25" spans="1:9" ht="15" customHeight="1">
      <c r="A25" s="2130"/>
      <c r="B25" s="2147"/>
      <c r="C25" s="2147"/>
      <c r="D25" s="2148"/>
      <c r="E25" s="2148"/>
      <c r="F25" s="2148"/>
      <c r="G25" s="2148"/>
      <c r="H25" s="2148"/>
      <c r="I25" s="2149"/>
    </row>
    <row r="26" spans="1:9" ht="15" customHeight="1">
      <c r="A26" s="2130"/>
      <c r="B26" s="2147"/>
      <c r="C26" s="2147"/>
      <c r="D26" s="2148"/>
      <c r="E26" s="2148"/>
      <c r="F26" s="2148"/>
      <c r="G26" s="2148"/>
      <c r="H26" s="2148"/>
      <c r="I26" s="2149"/>
    </row>
    <row r="27" spans="1:9" ht="15" customHeight="1">
      <c r="A27" s="2130"/>
      <c r="B27" s="2147"/>
      <c r="C27" s="2147"/>
      <c r="D27" s="2148"/>
      <c r="E27" s="2148"/>
      <c r="F27" s="2148"/>
      <c r="G27" s="2148"/>
      <c r="H27" s="2148"/>
      <c r="I27" s="2149"/>
    </row>
    <row r="28" spans="1:9" ht="15" customHeight="1">
      <c r="A28" s="2130"/>
      <c r="B28" s="2147"/>
      <c r="C28" s="2147"/>
      <c r="D28" s="2148"/>
      <c r="E28" s="2148"/>
      <c r="F28" s="2148"/>
      <c r="G28" s="2148"/>
      <c r="H28" s="2148"/>
      <c r="I28" s="2149"/>
    </row>
    <row r="29" spans="1:9" ht="15" customHeight="1">
      <c r="A29" s="2130"/>
      <c r="B29" s="2147"/>
      <c r="C29" s="2147"/>
      <c r="D29" s="2148"/>
      <c r="E29" s="2148"/>
      <c r="F29" s="2148"/>
      <c r="G29" s="2148"/>
      <c r="H29" s="2148"/>
      <c r="I29" s="2149"/>
    </row>
    <row r="30" spans="1:9" ht="15" customHeight="1">
      <c r="A30" s="2130"/>
      <c r="B30" s="2147"/>
      <c r="C30" s="2147"/>
      <c r="D30" s="2148"/>
      <c r="E30" s="2148"/>
      <c r="F30" s="2148"/>
      <c r="G30" s="2148"/>
      <c r="H30" s="2148"/>
      <c r="I30" s="2149"/>
    </row>
    <row r="31" spans="1:9" ht="15" customHeight="1">
      <c r="A31" s="2130"/>
      <c r="B31" s="2147"/>
      <c r="C31" s="2147"/>
      <c r="D31" s="2148"/>
      <c r="E31" s="2148"/>
      <c r="F31" s="2148"/>
      <c r="G31" s="2148"/>
      <c r="H31" s="2148"/>
      <c r="I31" s="2149"/>
    </row>
    <row r="32" spans="1:9" ht="15" customHeight="1">
      <c r="A32" s="2130"/>
      <c r="B32" s="2147"/>
      <c r="C32" s="2147"/>
      <c r="D32" s="2148"/>
      <c r="E32" s="2148"/>
      <c r="F32" s="2148"/>
      <c r="G32" s="2148"/>
      <c r="H32" s="2148"/>
      <c r="I32" s="2149"/>
    </row>
    <row r="33" spans="1:9" ht="15" customHeight="1">
      <c r="A33" s="2130"/>
      <c r="B33" s="2147"/>
      <c r="C33" s="2147"/>
      <c r="D33" s="2148"/>
      <c r="E33" s="2148"/>
      <c r="F33" s="2148"/>
      <c r="G33" s="2148"/>
      <c r="H33" s="2148"/>
      <c r="I33" s="2149"/>
    </row>
    <row r="34" spans="1:9" ht="15" customHeight="1">
      <c r="A34" s="2130"/>
      <c r="B34" s="2147"/>
      <c r="C34" s="2147"/>
      <c r="D34" s="2148"/>
      <c r="E34" s="2148"/>
      <c r="F34" s="2148"/>
      <c r="G34" s="2148"/>
      <c r="H34" s="2148"/>
      <c r="I34" s="2149"/>
    </row>
    <row r="35" spans="1:9" ht="15" customHeight="1">
      <c r="A35" s="2130"/>
      <c r="B35" s="2147"/>
      <c r="C35" s="2147"/>
      <c r="D35" s="2148"/>
      <c r="E35" s="2148"/>
      <c r="F35" s="2148"/>
      <c r="G35" s="2148"/>
      <c r="H35" s="2148"/>
      <c r="I35" s="2149"/>
    </row>
    <row r="36" spans="1:9" ht="15" customHeight="1">
      <c r="A36" s="2130"/>
      <c r="B36" s="2147"/>
      <c r="C36" s="2147"/>
      <c r="D36" s="2148"/>
      <c r="E36" s="2148"/>
      <c r="F36" s="2148"/>
      <c r="G36" s="2148"/>
      <c r="H36" s="2148"/>
      <c r="I36" s="2149"/>
    </row>
    <row r="37" spans="1:9" ht="15" customHeight="1">
      <c r="A37" s="2130"/>
      <c r="B37" s="2147"/>
      <c r="C37" s="2147"/>
      <c r="D37" s="2148"/>
      <c r="E37" s="2148"/>
      <c r="F37" s="2148"/>
      <c r="G37" s="2148"/>
      <c r="H37" s="2148"/>
      <c r="I37" s="2149"/>
    </row>
    <row r="38" spans="1:9" ht="15" customHeight="1">
      <c r="A38" s="2130"/>
      <c r="B38" s="2147"/>
      <c r="C38" s="2147"/>
      <c r="D38" s="2148"/>
      <c r="E38" s="2148"/>
      <c r="F38" s="2148"/>
      <c r="G38" s="2148"/>
      <c r="H38" s="2148"/>
      <c r="I38" s="2149"/>
    </row>
    <row r="39" spans="1:9" ht="15" customHeight="1" thickBot="1">
      <c r="A39" s="2130"/>
      <c r="B39" s="2158"/>
      <c r="C39" s="2158"/>
      <c r="D39" s="2159"/>
      <c r="E39" s="2159"/>
      <c r="F39" s="2159"/>
      <c r="G39" s="2159"/>
      <c r="H39" s="2159"/>
      <c r="I39" s="2160"/>
    </row>
    <row r="40" spans="1:9" ht="15" customHeight="1" thickBot="1">
      <c r="A40" s="2131"/>
      <c r="B40" s="2161"/>
      <c r="C40" s="2162"/>
      <c r="D40" s="2163" t="s">
        <v>569</v>
      </c>
      <c r="E40" s="2164"/>
      <c r="F40" s="2164"/>
      <c r="G40" s="2164"/>
      <c r="H40" s="2164"/>
      <c r="I40" s="2165"/>
    </row>
    <row r="41" spans="1:9" ht="15" customHeight="1">
      <c r="A41" s="2129" t="s">
        <v>329</v>
      </c>
      <c r="B41" s="2132" t="s">
        <v>622</v>
      </c>
      <c r="C41" s="2132"/>
      <c r="D41" s="2132" t="s">
        <v>330</v>
      </c>
      <c r="E41" s="2132"/>
      <c r="F41" s="2132"/>
      <c r="G41" s="2132"/>
      <c r="H41" s="2132"/>
      <c r="I41" s="2133"/>
    </row>
    <row r="42" spans="1:9" ht="15" customHeight="1">
      <c r="A42" s="2130"/>
      <c r="B42" s="2134"/>
      <c r="C42" s="2134"/>
      <c r="D42" s="2135"/>
      <c r="E42" s="2135"/>
      <c r="F42" s="2135"/>
      <c r="G42" s="2135"/>
      <c r="H42" s="2135"/>
      <c r="I42" s="2136"/>
    </row>
    <row r="43" spans="1:9" ht="15" customHeight="1">
      <c r="A43" s="2130"/>
      <c r="B43" s="2147"/>
      <c r="C43" s="2147"/>
      <c r="D43" s="2148"/>
      <c r="E43" s="2148"/>
      <c r="F43" s="2148"/>
      <c r="G43" s="2148"/>
      <c r="H43" s="2148"/>
      <c r="I43" s="2149"/>
    </row>
    <row r="44" spans="1:9" ht="15" customHeight="1">
      <c r="A44" s="2130"/>
      <c r="B44" s="2147"/>
      <c r="C44" s="2147"/>
      <c r="D44" s="2148"/>
      <c r="E44" s="2148"/>
      <c r="F44" s="2148"/>
      <c r="G44" s="2148"/>
      <c r="H44" s="2148"/>
      <c r="I44" s="2149"/>
    </row>
    <row r="45" spans="1:9" ht="15" customHeight="1">
      <c r="A45" s="2130"/>
      <c r="B45" s="2147"/>
      <c r="C45" s="2147"/>
      <c r="D45" s="2148"/>
      <c r="E45" s="2148"/>
      <c r="F45" s="2148"/>
      <c r="G45" s="2148"/>
      <c r="H45" s="2148"/>
      <c r="I45" s="2149"/>
    </row>
    <row r="46" spans="1:9" ht="15" customHeight="1">
      <c r="A46" s="2130"/>
      <c r="B46" s="2147"/>
      <c r="C46" s="2147"/>
      <c r="D46" s="2148"/>
      <c r="E46" s="2148"/>
      <c r="F46" s="2148"/>
      <c r="G46" s="2148"/>
      <c r="H46" s="2148"/>
      <c r="I46" s="2149"/>
    </row>
    <row r="47" spans="1:9" ht="15" customHeight="1">
      <c r="A47" s="2130"/>
      <c r="B47" s="2147"/>
      <c r="C47" s="2147"/>
      <c r="D47" s="2148"/>
      <c r="E47" s="2148"/>
      <c r="F47" s="2148"/>
      <c r="G47" s="2148"/>
      <c r="H47" s="2148"/>
      <c r="I47" s="2149"/>
    </row>
    <row r="48" spans="1:9" ht="15" customHeight="1">
      <c r="A48" s="2130"/>
      <c r="B48" s="2147"/>
      <c r="C48" s="2147"/>
      <c r="D48" s="2148"/>
      <c r="E48" s="2148"/>
      <c r="F48" s="2148"/>
      <c r="G48" s="2148"/>
      <c r="H48" s="2148"/>
      <c r="I48" s="2149"/>
    </row>
    <row r="49" spans="1:9" ht="15" customHeight="1">
      <c r="A49" s="2130"/>
      <c r="B49" s="2147"/>
      <c r="C49" s="2147"/>
      <c r="D49" s="2148"/>
      <c r="E49" s="2148"/>
      <c r="F49" s="2148"/>
      <c r="G49" s="2148"/>
      <c r="H49" s="2148"/>
      <c r="I49" s="2149"/>
    </row>
    <row r="50" spans="1:9" ht="15" customHeight="1">
      <c r="A50" s="2130"/>
      <c r="B50" s="2147"/>
      <c r="C50" s="2147"/>
      <c r="D50" s="2148"/>
      <c r="E50" s="2148"/>
      <c r="F50" s="2148"/>
      <c r="G50" s="2148"/>
      <c r="H50" s="2148"/>
      <c r="I50" s="2149"/>
    </row>
    <row r="51" spans="1:9" ht="15" customHeight="1" thickBot="1">
      <c r="A51" s="2131"/>
      <c r="B51" s="2155"/>
      <c r="C51" s="2155"/>
      <c r="D51" s="2156"/>
      <c r="E51" s="2156"/>
      <c r="F51" s="2156"/>
      <c r="G51" s="2156"/>
      <c r="H51" s="2156"/>
      <c r="I51" s="2157"/>
    </row>
    <row r="52" spans="1:9" ht="15" customHeight="1">
      <c r="A52" s="664"/>
      <c r="B52" s="664"/>
      <c r="C52" s="664"/>
      <c r="D52" s="664"/>
      <c r="E52" s="664"/>
      <c r="F52" s="664"/>
      <c r="G52" s="701"/>
      <c r="H52" s="701"/>
      <c r="I52" s="702"/>
    </row>
    <row r="53" spans="1:9" ht="15" customHeight="1">
      <c r="A53" s="700" t="s">
        <v>331</v>
      </c>
      <c r="B53" s="664"/>
      <c r="C53" s="664"/>
      <c r="D53" s="664"/>
      <c r="E53" s="664"/>
      <c r="F53" s="664"/>
      <c r="G53" s="701"/>
      <c r="H53" s="701"/>
      <c r="I53" s="702"/>
    </row>
    <row r="54" spans="1:9" ht="15" customHeight="1">
      <c r="A54" s="144" t="s">
        <v>544</v>
      </c>
      <c r="B54" s="664"/>
      <c r="C54" s="664"/>
      <c r="D54" s="664"/>
      <c r="E54" s="664"/>
      <c r="F54" s="664"/>
      <c r="G54" s="664"/>
      <c r="H54" s="664"/>
      <c r="I54" s="664"/>
    </row>
    <row r="55" spans="1:9" ht="15" customHeight="1">
      <c r="A55" s="144" t="s">
        <v>545</v>
      </c>
      <c r="B55" s="664"/>
      <c r="C55" s="664"/>
      <c r="D55" s="664"/>
      <c r="E55" s="664"/>
      <c r="F55" s="664"/>
      <c r="G55" s="664"/>
      <c r="H55" s="664"/>
      <c r="I55" s="664"/>
    </row>
    <row r="56" spans="1:9" ht="15" customHeight="1">
      <c r="A56" s="1010" t="s">
        <v>332</v>
      </c>
      <c r="B56" s="1010" t="s">
        <v>546</v>
      </c>
      <c r="C56" s="1010" t="s">
        <v>317</v>
      </c>
      <c r="D56" s="1010" t="s">
        <v>76</v>
      </c>
      <c r="E56" s="664"/>
      <c r="F56" s="1010" t="s">
        <v>333</v>
      </c>
      <c r="G56" s="1010" t="s">
        <v>546</v>
      </c>
      <c r="H56" s="1010" t="s">
        <v>317</v>
      </c>
      <c r="I56" s="1010" t="s">
        <v>76</v>
      </c>
    </row>
    <row r="57" spans="1:9" ht="15" customHeight="1">
      <c r="A57" s="1011">
        <v>1</v>
      </c>
      <c r="B57" s="1012" t="str">
        <f>CONCATENATE(【様式１】総括表・個票!D12)</f>
        <v/>
      </c>
      <c r="C57" s="1015"/>
      <c r="D57" s="1018"/>
      <c r="E57" s="664"/>
      <c r="F57" s="1011">
        <v>51</v>
      </c>
      <c r="G57" s="1018"/>
      <c r="H57" s="1015"/>
      <c r="I57" s="1018"/>
    </row>
    <row r="58" spans="1:9" ht="15" customHeight="1">
      <c r="A58" s="1013">
        <v>2</v>
      </c>
      <c r="B58" s="1016"/>
      <c r="C58" s="1017"/>
      <c r="D58" s="1016"/>
      <c r="E58" s="664"/>
      <c r="F58" s="1013">
        <v>52</v>
      </c>
      <c r="G58" s="1016"/>
      <c r="H58" s="1017"/>
      <c r="I58" s="1016"/>
    </row>
    <row r="59" spans="1:9" ht="15" customHeight="1">
      <c r="A59" s="1013">
        <v>3</v>
      </c>
      <c r="B59" s="1016"/>
      <c r="C59" s="1017"/>
      <c r="D59" s="1016"/>
      <c r="E59" s="664"/>
      <c r="F59" s="1013">
        <v>53</v>
      </c>
      <c r="G59" s="1016"/>
      <c r="H59" s="1017"/>
      <c r="I59" s="1016"/>
    </row>
    <row r="60" spans="1:9" ht="15" customHeight="1">
      <c r="A60" s="1013">
        <v>4</v>
      </c>
      <c r="B60" s="1016"/>
      <c r="C60" s="1017"/>
      <c r="D60" s="1016"/>
      <c r="E60" s="664"/>
      <c r="F60" s="1013">
        <v>54</v>
      </c>
      <c r="G60" s="1016"/>
      <c r="H60" s="1017"/>
      <c r="I60" s="1016"/>
    </row>
    <row r="61" spans="1:9" ht="15" customHeight="1">
      <c r="A61" s="1013">
        <v>5</v>
      </c>
      <c r="B61" s="1016"/>
      <c r="C61" s="1017"/>
      <c r="D61" s="1016"/>
      <c r="E61" s="664"/>
      <c r="F61" s="1013">
        <v>55</v>
      </c>
      <c r="G61" s="1016"/>
      <c r="H61" s="1017"/>
      <c r="I61" s="1016"/>
    </row>
    <row r="62" spans="1:9" ht="15" customHeight="1">
      <c r="A62" s="1013">
        <v>6</v>
      </c>
      <c r="B62" s="1016"/>
      <c r="C62" s="1017"/>
      <c r="D62" s="1016"/>
      <c r="E62" s="664"/>
      <c r="F62" s="1013">
        <v>56</v>
      </c>
      <c r="G62" s="1016"/>
      <c r="H62" s="1017"/>
      <c r="I62" s="1016"/>
    </row>
    <row r="63" spans="1:9" ht="15" customHeight="1">
      <c r="A63" s="1013">
        <v>7</v>
      </c>
      <c r="B63" s="1016"/>
      <c r="C63" s="1017"/>
      <c r="D63" s="1016"/>
      <c r="E63" s="664"/>
      <c r="F63" s="1013">
        <v>57</v>
      </c>
      <c r="G63" s="1016"/>
      <c r="H63" s="1017"/>
      <c r="I63" s="1016"/>
    </row>
    <row r="64" spans="1:9" ht="15" customHeight="1">
      <c r="A64" s="1013">
        <v>8</v>
      </c>
      <c r="B64" s="1016"/>
      <c r="C64" s="1017"/>
      <c r="D64" s="1016"/>
      <c r="E64" s="664"/>
      <c r="F64" s="1013">
        <v>58</v>
      </c>
      <c r="G64" s="1016"/>
      <c r="H64" s="1017"/>
      <c r="I64" s="1016"/>
    </row>
    <row r="65" spans="1:9" ht="15" customHeight="1">
      <c r="A65" s="1013">
        <v>9</v>
      </c>
      <c r="B65" s="1016"/>
      <c r="C65" s="1017"/>
      <c r="D65" s="1016"/>
      <c r="E65" s="664"/>
      <c r="F65" s="1013">
        <v>59</v>
      </c>
      <c r="G65" s="1016"/>
      <c r="H65" s="1017"/>
      <c r="I65" s="1016"/>
    </row>
    <row r="66" spans="1:9" ht="15" customHeight="1">
      <c r="A66" s="1013">
        <v>10</v>
      </c>
      <c r="B66" s="1016"/>
      <c r="C66" s="1017"/>
      <c r="D66" s="1016"/>
      <c r="E66" s="664"/>
      <c r="F66" s="1013">
        <v>60</v>
      </c>
      <c r="G66" s="1016"/>
      <c r="H66" s="1017"/>
      <c r="I66" s="1016"/>
    </row>
    <row r="67" spans="1:9" ht="15" customHeight="1">
      <c r="A67" s="1013">
        <v>11</v>
      </c>
      <c r="B67" s="1016"/>
      <c r="C67" s="1017"/>
      <c r="D67" s="1016"/>
      <c r="E67" s="664"/>
      <c r="F67" s="1013">
        <v>61</v>
      </c>
      <c r="G67" s="1016"/>
      <c r="H67" s="1017"/>
      <c r="I67" s="1016"/>
    </row>
    <row r="68" spans="1:9" ht="15" customHeight="1">
      <c r="A68" s="1013">
        <v>12</v>
      </c>
      <c r="B68" s="1016"/>
      <c r="C68" s="1017"/>
      <c r="D68" s="1016"/>
      <c r="E68" s="664"/>
      <c r="F68" s="1013">
        <v>62</v>
      </c>
      <c r="G68" s="1016"/>
      <c r="H68" s="1017"/>
      <c r="I68" s="1016"/>
    </row>
    <row r="69" spans="1:9" ht="15" customHeight="1">
      <c r="A69" s="1013">
        <v>13</v>
      </c>
      <c r="B69" s="1016"/>
      <c r="C69" s="1017"/>
      <c r="D69" s="1016"/>
      <c r="E69" s="664"/>
      <c r="F69" s="1013">
        <v>63</v>
      </c>
      <c r="G69" s="1016"/>
      <c r="H69" s="1017"/>
      <c r="I69" s="1016"/>
    </row>
    <row r="70" spans="1:9" ht="15" customHeight="1">
      <c r="A70" s="1013">
        <v>14</v>
      </c>
      <c r="B70" s="1016"/>
      <c r="C70" s="1017"/>
      <c r="D70" s="1016"/>
      <c r="E70" s="664"/>
      <c r="F70" s="1013">
        <v>64</v>
      </c>
      <c r="G70" s="1016"/>
      <c r="H70" s="1017"/>
      <c r="I70" s="1016"/>
    </row>
    <row r="71" spans="1:9" ht="15" customHeight="1">
      <c r="A71" s="1013">
        <v>15</v>
      </c>
      <c r="B71" s="1016"/>
      <c r="C71" s="1017"/>
      <c r="D71" s="1016"/>
      <c r="E71" s="664"/>
      <c r="F71" s="1013">
        <v>65</v>
      </c>
      <c r="G71" s="1016"/>
      <c r="H71" s="1017"/>
      <c r="I71" s="1016"/>
    </row>
    <row r="72" spans="1:9" ht="15" customHeight="1">
      <c r="A72" s="1013">
        <v>16</v>
      </c>
      <c r="B72" s="1016"/>
      <c r="C72" s="1017"/>
      <c r="D72" s="1016"/>
      <c r="E72" s="664"/>
      <c r="F72" s="1013">
        <v>66</v>
      </c>
      <c r="G72" s="1016"/>
      <c r="H72" s="1017"/>
      <c r="I72" s="1016"/>
    </row>
    <row r="73" spans="1:9" ht="15" customHeight="1">
      <c r="A73" s="1013">
        <v>17</v>
      </c>
      <c r="B73" s="1016"/>
      <c r="C73" s="1017"/>
      <c r="D73" s="1016"/>
      <c r="E73" s="664"/>
      <c r="F73" s="1013">
        <v>67</v>
      </c>
      <c r="G73" s="1016"/>
      <c r="H73" s="1017"/>
      <c r="I73" s="1016"/>
    </row>
    <row r="74" spans="1:9" ht="15" customHeight="1">
      <c r="A74" s="1013">
        <v>18</v>
      </c>
      <c r="B74" s="1016"/>
      <c r="C74" s="1017"/>
      <c r="D74" s="1016"/>
      <c r="E74" s="664"/>
      <c r="F74" s="1013">
        <v>68</v>
      </c>
      <c r="G74" s="1016"/>
      <c r="H74" s="1017"/>
      <c r="I74" s="1016"/>
    </row>
    <row r="75" spans="1:9" ht="15" customHeight="1">
      <c r="A75" s="1013">
        <v>19</v>
      </c>
      <c r="B75" s="1016"/>
      <c r="C75" s="1017"/>
      <c r="D75" s="1016"/>
      <c r="E75" s="664"/>
      <c r="F75" s="1013">
        <v>69</v>
      </c>
      <c r="G75" s="1016"/>
      <c r="H75" s="1017"/>
      <c r="I75" s="1016"/>
    </row>
    <row r="76" spans="1:9" ht="15" customHeight="1">
      <c r="A76" s="1013">
        <v>20</v>
      </c>
      <c r="B76" s="1016"/>
      <c r="C76" s="1017"/>
      <c r="D76" s="1016"/>
      <c r="E76" s="664"/>
      <c r="F76" s="1013">
        <v>70</v>
      </c>
      <c r="G76" s="1016"/>
      <c r="H76" s="1017"/>
      <c r="I76" s="1016"/>
    </row>
    <row r="77" spans="1:9" ht="15" customHeight="1">
      <c r="A77" s="1013">
        <v>21</v>
      </c>
      <c r="B77" s="1016"/>
      <c r="C77" s="1017"/>
      <c r="D77" s="1016"/>
      <c r="E77" s="664"/>
      <c r="F77" s="1013">
        <v>71</v>
      </c>
      <c r="G77" s="1016"/>
      <c r="H77" s="1017"/>
      <c r="I77" s="1016"/>
    </row>
    <row r="78" spans="1:9" ht="15" customHeight="1">
      <c r="A78" s="1013">
        <v>22</v>
      </c>
      <c r="B78" s="1016"/>
      <c r="C78" s="1017"/>
      <c r="D78" s="1016"/>
      <c r="E78" s="664"/>
      <c r="F78" s="1013">
        <v>72</v>
      </c>
      <c r="G78" s="1016"/>
      <c r="H78" s="1017"/>
      <c r="I78" s="1016"/>
    </row>
    <row r="79" spans="1:9" ht="15" customHeight="1">
      <c r="A79" s="1013">
        <v>23</v>
      </c>
      <c r="B79" s="1016"/>
      <c r="C79" s="1017"/>
      <c r="D79" s="1016"/>
      <c r="E79" s="664"/>
      <c r="F79" s="1013">
        <v>73</v>
      </c>
      <c r="G79" s="1016"/>
      <c r="H79" s="1017"/>
      <c r="I79" s="1016"/>
    </row>
    <row r="80" spans="1:9" ht="15" customHeight="1">
      <c r="A80" s="1013">
        <v>24</v>
      </c>
      <c r="B80" s="1016"/>
      <c r="C80" s="1017"/>
      <c r="D80" s="1016"/>
      <c r="E80" s="664"/>
      <c r="F80" s="1013">
        <v>74</v>
      </c>
      <c r="G80" s="1016"/>
      <c r="H80" s="1017"/>
      <c r="I80" s="1016"/>
    </row>
    <row r="81" spans="1:9" ht="15" customHeight="1">
      <c r="A81" s="1013">
        <v>25</v>
      </c>
      <c r="B81" s="1016"/>
      <c r="C81" s="1017"/>
      <c r="D81" s="1016"/>
      <c r="E81" s="664"/>
      <c r="F81" s="1013">
        <v>75</v>
      </c>
      <c r="G81" s="1016"/>
      <c r="H81" s="1017"/>
      <c r="I81" s="1016"/>
    </row>
    <row r="82" spans="1:9" ht="15" customHeight="1">
      <c r="A82" s="1013">
        <v>26</v>
      </c>
      <c r="B82" s="1016"/>
      <c r="C82" s="1017"/>
      <c r="D82" s="1016"/>
      <c r="E82" s="664"/>
      <c r="F82" s="1013">
        <v>76</v>
      </c>
      <c r="G82" s="1016"/>
      <c r="H82" s="1017"/>
      <c r="I82" s="1016"/>
    </row>
    <row r="83" spans="1:9" ht="15" customHeight="1">
      <c r="A83" s="1013">
        <v>27</v>
      </c>
      <c r="B83" s="1016"/>
      <c r="C83" s="1017"/>
      <c r="D83" s="1016"/>
      <c r="E83" s="664"/>
      <c r="F83" s="1013">
        <v>77</v>
      </c>
      <c r="G83" s="1016"/>
      <c r="H83" s="1017"/>
      <c r="I83" s="1016"/>
    </row>
    <row r="84" spans="1:9" ht="15" customHeight="1">
      <c r="A84" s="1013">
        <v>28</v>
      </c>
      <c r="B84" s="1016"/>
      <c r="C84" s="1017"/>
      <c r="D84" s="1016"/>
      <c r="E84" s="664"/>
      <c r="F84" s="1013">
        <v>78</v>
      </c>
      <c r="G84" s="1016"/>
      <c r="H84" s="1017"/>
      <c r="I84" s="1016"/>
    </row>
    <row r="85" spans="1:9" ht="15" customHeight="1">
      <c r="A85" s="1013">
        <v>29</v>
      </c>
      <c r="B85" s="1016"/>
      <c r="C85" s="1017"/>
      <c r="D85" s="1016"/>
      <c r="E85" s="664"/>
      <c r="F85" s="1013">
        <v>79</v>
      </c>
      <c r="G85" s="1016"/>
      <c r="H85" s="1017"/>
      <c r="I85" s="1016"/>
    </row>
    <row r="86" spans="1:9" ht="15" customHeight="1">
      <c r="A86" s="1013">
        <v>30</v>
      </c>
      <c r="B86" s="1016"/>
      <c r="C86" s="1017"/>
      <c r="D86" s="1016"/>
      <c r="E86" s="664"/>
      <c r="F86" s="1013">
        <v>80</v>
      </c>
      <c r="G86" s="1016"/>
      <c r="H86" s="1017"/>
      <c r="I86" s="1016"/>
    </row>
    <row r="87" spans="1:9" ht="15" customHeight="1">
      <c r="A87" s="1013">
        <v>31</v>
      </c>
      <c r="B87" s="1016"/>
      <c r="C87" s="1017"/>
      <c r="D87" s="1016"/>
      <c r="E87" s="664"/>
      <c r="F87" s="1013">
        <v>81</v>
      </c>
      <c r="G87" s="1016"/>
      <c r="H87" s="1017"/>
      <c r="I87" s="1016"/>
    </row>
    <row r="88" spans="1:9" ht="15" customHeight="1">
      <c r="A88" s="1013">
        <v>32</v>
      </c>
      <c r="B88" s="1016"/>
      <c r="C88" s="1017"/>
      <c r="D88" s="1016"/>
      <c r="E88" s="664"/>
      <c r="F88" s="1013">
        <v>82</v>
      </c>
      <c r="G88" s="1016"/>
      <c r="H88" s="1017"/>
      <c r="I88" s="1016"/>
    </row>
    <row r="89" spans="1:9" ht="15" customHeight="1">
      <c r="A89" s="1013">
        <v>33</v>
      </c>
      <c r="B89" s="1016"/>
      <c r="C89" s="1017"/>
      <c r="D89" s="1016"/>
      <c r="E89" s="664"/>
      <c r="F89" s="1013">
        <v>83</v>
      </c>
      <c r="G89" s="1016"/>
      <c r="H89" s="1017"/>
      <c r="I89" s="1016"/>
    </row>
    <row r="90" spans="1:9" ht="15" customHeight="1">
      <c r="A90" s="1013">
        <v>34</v>
      </c>
      <c r="B90" s="1016"/>
      <c r="C90" s="1017"/>
      <c r="D90" s="1016"/>
      <c r="E90" s="664"/>
      <c r="F90" s="1013">
        <v>84</v>
      </c>
      <c r="G90" s="1016"/>
      <c r="H90" s="1017"/>
      <c r="I90" s="1016"/>
    </row>
    <row r="91" spans="1:9" ht="15" customHeight="1">
      <c r="A91" s="1013">
        <v>35</v>
      </c>
      <c r="B91" s="1016"/>
      <c r="C91" s="1017"/>
      <c r="D91" s="1016"/>
      <c r="E91" s="664"/>
      <c r="F91" s="1013">
        <v>85</v>
      </c>
      <c r="G91" s="1016"/>
      <c r="H91" s="1017"/>
      <c r="I91" s="1016"/>
    </row>
    <row r="92" spans="1:9" ht="15" customHeight="1">
      <c r="A92" s="1013">
        <v>36</v>
      </c>
      <c r="B92" s="1016"/>
      <c r="C92" s="1017"/>
      <c r="D92" s="1016"/>
      <c r="E92" s="664"/>
      <c r="F92" s="1013">
        <v>86</v>
      </c>
      <c r="G92" s="1016"/>
      <c r="H92" s="1017"/>
      <c r="I92" s="1016"/>
    </row>
    <row r="93" spans="1:9" ht="15" customHeight="1">
      <c r="A93" s="1013">
        <v>37</v>
      </c>
      <c r="B93" s="1016"/>
      <c r="C93" s="1017"/>
      <c r="D93" s="1016"/>
      <c r="E93" s="664"/>
      <c r="F93" s="1013">
        <v>87</v>
      </c>
      <c r="G93" s="1016"/>
      <c r="H93" s="1017"/>
      <c r="I93" s="1016"/>
    </row>
    <row r="94" spans="1:9" ht="15" customHeight="1">
      <c r="A94" s="1013">
        <v>38</v>
      </c>
      <c r="B94" s="1016"/>
      <c r="C94" s="1017"/>
      <c r="D94" s="1016"/>
      <c r="E94" s="664"/>
      <c r="F94" s="1013">
        <v>88</v>
      </c>
      <c r="G94" s="1016"/>
      <c r="H94" s="1017"/>
      <c r="I94" s="1016"/>
    </row>
    <row r="95" spans="1:9" ht="15" customHeight="1">
      <c r="A95" s="1013">
        <v>39</v>
      </c>
      <c r="B95" s="1016"/>
      <c r="C95" s="1017"/>
      <c r="D95" s="1016"/>
      <c r="E95" s="664"/>
      <c r="F95" s="1013">
        <v>89</v>
      </c>
      <c r="G95" s="1016"/>
      <c r="H95" s="1017"/>
      <c r="I95" s="1016"/>
    </row>
    <row r="96" spans="1:9" ht="15" customHeight="1">
      <c r="A96" s="1013">
        <v>40</v>
      </c>
      <c r="B96" s="1016"/>
      <c r="C96" s="1017"/>
      <c r="D96" s="1016"/>
      <c r="E96" s="664"/>
      <c r="F96" s="1013">
        <v>90</v>
      </c>
      <c r="G96" s="1016"/>
      <c r="H96" s="1017"/>
      <c r="I96" s="1016"/>
    </row>
    <row r="97" spans="1:9" ht="15" customHeight="1">
      <c r="A97" s="1013">
        <v>41</v>
      </c>
      <c r="B97" s="1016"/>
      <c r="C97" s="1017"/>
      <c r="D97" s="1016"/>
      <c r="E97" s="664"/>
      <c r="F97" s="1013">
        <v>91</v>
      </c>
      <c r="G97" s="1016"/>
      <c r="H97" s="1017"/>
      <c r="I97" s="1016"/>
    </row>
    <row r="98" spans="1:9" ht="15" customHeight="1">
      <c r="A98" s="1013">
        <v>42</v>
      </c>
      <c r="B98" s="1016"/>
      <c r="C98" s="1017"/>
      <c r="D98" s="1016"/>
      <c r="E98" s="664"/>
      <c r="F98" s="1013">
        <v>92</v>
      </c>
      <c r="G98" s="1016"/>
      <c r="H98" s="1017"/>
      <c r="I98" s="1016"/>
    </row>
    <row r="99" spans="1:9" ht="15" customHeight="1">
      <c r="A99" s="1013">
        <v>43</v>
      </c>
      <c r="B99" s="1016"/>
      <c r="C99" s="1017"/>
      <c r="D99" s="1016"/>
      <c r="E99" s="664"/>
      <c r="F99" s="1013">
        <v>93</v>
      </c>
      <c r="G99" s="1016"/>
      <c r="H99" s="1017"/>
      <c r="I99" s="1016"/>
    </row>
    <row r="100" spans="1:9" ht="15" customHeight="1">
      <c r="A100" s="1013">
        <v>44</v>
      </c>
      <c r="B100" s="1016"/>
      <c r="C100" s="1017"/>
      <c r="D100" s="1016"/>
      <c r="E100" s="664"/>
      <c r="F100" s="1013">
        <v>94</v>
      </c>
      <c r="G100" s="1016"/>
      <c r="H100" s="1017"/>
      <c r="I100" s="1016"/>
    </row>
    <row r="101" spans="1:9" ht="15" customHeight="1">
      <c r="A101" s="1013">
        <v>45</v>
      </c>
      <c r="B101" s="1016"/>
      <c r="C101" s="1017"/>
      <c r="D101" s="1016"/>
      <c r="E101" s="664"/>
      <c r="F101" s="1013">
        <v>95</v>
      </c>
      <c r="G101" s="1016"/>
      <c r="H101" s="1017"/>
      <c r="I101" s="1016"/>
    </row>
    <row r="102" spans="1:9" ht="15" customHeight="1">
      <c r="A102" s="1013">
        <v>46</v>
      </c>
      <c r="B102" s="1016"/>
      <c r="C102" s="1017"/>
      <c r="D102" s="1016"/>
      <c r="E102" s="664"/>
      <c r="F102" s="1013">
        <v>96</v>
      </c>
      <c r="G102" s="1016"/>
      <c r="H102" s="1017"/>
      <c r="I102" s="1016"/>
    </row>
    <row r="103" spans="1:9" ht="15" customHeight="1">
      <c r="A103" s="1013">
        <v>47</v>
      </c>
      <c r="B103" s="1016"/>
      <c r="C103" s="1017"/>
      <c r="D103" s="1016"/>
      <c r="E103" s="664"/>
      <c r="F103" s="1013">
        <v>97</v>
      </c>
      <c r="G103" s="1016"/>
      <c r="H103" s="1017"/>
      <c r="I103" s="1016"/>
    </row>
    <row r="104" spans="1:9" ht="15" customHeight="1">
      <c r="A104" s="1013">
        <v>48</v>
      </c>
      <c r="B104" s="1016"/>
      <c r="C104" s="1017"/>
      <c r="D104" s="1016"/>
      <c r="E104" s="664"/>
      <c r="F104" s="1013">
        <v>98</v>
      </c>
      <c r="G104" s="1016"/>
      <c r="H104" s="1017"/>
      <c r="I104" s="1016"/>
    </row>
    <row r="105" spans="1:9" ht="15" customHeight="1">
      <c r="A105" s="1013">
        <v>49</v>
      </c>
      <c r="B105" s="1016"/>
      <c r="C105" s="1017"/>
      <c r="D105" s="1016"/>
      <c r="E105" s="664"/>
      <c r="F105" s="1013">
        <v>99</v>
      </c>
      <c r="G105" s="1016"/>
      <c r="H105" s="1017"/>
      <c r="I105" s="1016"/>
    </row>
    <row r="106" spans="1:9" ht="15" customHeight="1">
      <c r="A106" s="1014">
        <v>50</v>
      </c>
      <c r="B106" s="1019"/>
      <c r="C106" s="1020"/>
      <c r="D106" s="1019"/>
      <c r="E106" s="664"/>
      <c r="F106" s="1014">
        <v>100</v>
      </c>
      <c r="G106" s="1019"/>
      <c r="H106" s="1020"/>
      <c r="I106" s="1019"/>
    </row>
  </sheetData>
  <sheetProtection algorithmName="SHA-512" hashValue="pXNWmEGhiKw8tXEywYelWVkVksJStCCV+lklIzaMXXAC4+k81Yx1Cr4Ej0xRirBMbt3XqSlXxjkH75rKJWtk7w==" saltValue="pZxivCEDDeycUhoQFJFGhQ==" spinCount="100000" sheet="1" objects="1" scenarios="1" selectLockedCells="1"/>
  <mergeCells count="101">
    <mergeCell ref="A41:A51"/>
    <mergeCell ref="B41:C41"/>
    <mergeCell ref="D41:I41"/>
    <mergeCell ref="B42:C42"/>
    <mergeCell ref="D42:I42"/>
    <mergeCell ref="B43:C43"/>
    <mergeCell ref="D43:I43"/>
    <mergeCell ref="B44:C44"/>
    <mergeCell ref="B51:C51"/>
    <mergeCell ref="D51:I51"/>
    <mergeCell ref="B48:C48"/>
    <mergeCell ref="D48:I48"/>
    <mergeCell ref="B49:C49"/>
    <mergeCell ref="D49:I49"/>
    <mergeCell ref="B50:C50"/>
    <mergeCell ref="D50:I50"/>
    <mergeCell ref="D44:I44"/>
    <mergeCell ref="B45:C45"/>
    <mergeCell ref="D45:I45"/>
    <mergeCell ref="B46:C46"/>
    <mergeCell ref="D46:I46"/>
    <mergeCell ref="B47:C47"/>
    <mergeCell ref="D47:I47"/>
    <mergeCell ref="B39:C39"/>
    <mergeCell ref="D39:I39"/>
    <mergeCell ref="B34:C34"/>
    <mergeCell ref="D34:I34"/>
    <mergeCell ref="B35:C35"/>
    <mergeCell ref="D35:I35"/>
    <mergeCell ref="B36:C36"/>
    <mergeCell ref="D36:I36"/>
    <mergeCell ref="B40:C40"/>
    <mergeCell ref="D40:I40"/>
    <mergeCell ref="D28:I28"/>
    <mergeCell ref="B29:C29"/>
    <mergeCell ref="D29:I29"/>
    <mergeCell ref="B30:C30"/>
    <mergeCell ref="D30:I30"/>
    <mergeCell ref="B37:C37"/>
    <mergeCell ref="D37:I37"/>
    <mergeCell ref="B38:C38"/>
    <mergeCell ref="D38:I38"/>
    <mergeCell ref="D24:I24"/>
    <mergeCell ref="B25:C25"/>
    <mergeCell ref="D25:I25"/>
    <mergeCell ref="B26:C26"/>
    <mergeCell ref="D26:I26"/>
    <mergeCell ref="B27:C27"/>
    <mergeCell ref="D27:I27"/>
    <mergeCell ref="A20:A40"/>
    <mergeCell ref="B20:C20"/>
    <mergeCell ref="D20:I20"/>
    <mergeCell ref="B21:C21"/>
    <mergeCell ref="D21:I21"/>
    <mergeCell ref="B22:C22"/>
    <mergeCell ref="D22:I22"/>
    <mergeCell ref="B23:C23"/>
    <mergeCell ref="D23:I23"/>
    <mergeCell ref="B24:C24"/>
    <mergeCell ref="B31:C31"/>
    <mergeCell ref="D31:I31"/>
    <mergeCell ref="B32:C32"/>
    <mergeCell ref="D32:I32"/>
    <mergeCell ref="B33:C33"/>
    <mergeCell ref="D33:I33"/>
    <mergeCell ref="B28:C28"/>
    <mergeCell ref="D17:I17"/>
    <mergeCell ref="B18:C18"/>
    <mergeCell ref="D18:I18"/>
    <mergeCell ref="B19:C19"/>
    <mergeCell ref="D19:I19"/>
    <mergeCell ref="B14:C14"/>
    <mergeCell ref="D14:I14"/>
    <mergeCell ref="B15:C15"/>
    <mergeCell ref="D15:I15"/>
    <mergeCell ref="B16:C16"/>
    <mergeCell ref="D16:I16"/>
    <mergeCell ref="A9:A19"/>
    <mergeCell ref="B9:C9"/>
    <mergeCell ref="D9:I9"/>
    <mergeCell ref="B10:C10"/>
    <mergeCell ref="D10:I10"/>
    <mergeCell ref="G1:I1"/>
    <mergeCell ref="A4:A8"/>
    <mergeCell ref="B4:C4"/>
    <mergeCell ref="D4:I4"/>
    <mergeCell ref="B5:C5"/>
    <mergeCell ref="D5:I5"/>
    <mergeCell ref="B6:C6"/>
    <mergeCell ref="D6:I6"/>
    <mergeCell ref="B7:C7"/>
    <mergeCell ref="B11:C11"/>
    <mergeCell ref="D11:I11"/>
    <mergeCell ref="B12:C12"/>
    <mergeCell ref="D12:I12"/>
    <mergeCell ref="B13:C13"/>
    <mergeCell ref="D13:I13"/>
    <mergeCell ref="D7:I7"/>
    <mergeCell ref="B8:C8"/>
    <mergeCell ref="D8:I8"/>
    <mergeCell ref="B17:C17"/>
  </mergeCells>
  <phoneticPr fontId="1"/>
  <dataValidations count="1">
    <dataValidation type="list" allowBlank="1" showInputMessage="1" showErrorMessage="1" sqref="C57:C106 H57:H106" xr:uid="{00000000-0002-0000-0500-000000000000}">
      <formula1>$L$3:$L$4</formula1>
    </dataValidation>
  </dataValidations>
  <pageMargins left="0.70866141732283472" right="0.70866141732283472" top="0.74803149606299213" bottom="0.74803149606299213" header="0.31496062992125984" footer="0.31496062992125984"/>
  <pageSetup paperSize="9" scale="77" fitToHeight="0" orientation="portrait" r:id="rId1"/>
  <rowBreaks count="1" manualBreakCount="1">
    <brk id="52"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00B0F0"/>
    <pageSetUpPr fitToPage="1"/>
  </sheetPr>
  <dimension ref="A1:AP30"/>
  <sheetViews>
    <sheetView view="pageBreakPreview" zoomScaleNormal="100" zoomScaleSheetLayoutView="100" workbookViewId="0">
      <selection activeCell="E5" sqref="E5"/>
    </sheetView>
  </sheetViews>
  <sheetFormatPr defaultColWidth="9" defaultRowHeight="12" outlineLevelCol="1"/>
  <cols>
    <col min="1" max="1" width="10.625" style="78" customWidth="1"/>
    <col min="2" max="3" width="18.25" style="78" customWidth="1"/>
    <col min="4" max="4" width="11" style="78" customWidth="1"/>
    <col min="5" max="5" width="18.875" style="78" bestFit="1" customWidth="1"/>
    <col min="6" max="6" width="12" style="78" customWidth="1"/>
    <col min="7" max="7" width="18.25" style="78" customWidth="1"/>
    <col min="8" max="8" width="11.375" style="78" bestFit="1" customWidth="1"/>
    <col min="9" max="9" width="50.625" style="78" customWidth="1"/>
    <col min="10" max="10" width="9" style="78" hidden="1" customWidth="1" outlineLevel="1"/>
    <col min="11" max="39" width="3.625" style="146" hidden="1" customWidth="1" outlineLevel="1"/>
    <col min="40" max="41" width="3.625" style="78" hidden="1" customWidth="1" outlineLevel="1"/>
    <col min="42" max="42" width="9" style="78" collapsed="1"/>
    <col min="43" max="16384" width="9" style="78"/>
  </cols>
  <sheetData>
    <row r="1" spans="1:41" ht="20.100000000000001" customHeight="1">
      <c r="A1" s="143" t="s">
        <v>1061</v>
      </c>
      <c r="B1" s="144"/>
      <c r="C1" s="144"/>
      <c r="D1" s="144"/>
      <c r="E1" s="144"/>
      <c r="F1" s="2166" t="str">
        <f>J2&amp;"別紙2"&amp;J3</f>
        <v>加-25_4月申-別紙2-認_Ver.4.02</v>
      </c>
      <c r="G1" s="2166"/>
      <c r="H1" s="2166"/>
      <c r="J1" s="264" t="s">
        <v>1163</v>
      </c>
      <c r="K1" s="137" t="s">
        <v>84</v>
      </c>
      <c r="AM1" s="78"/>
    </row>
    <row r="2" spans="1:41" ht="20.100000000000001" customHeight="1">
      <c r="A2" s="147" t="s">
        <v>655</v>
      </c>
      <c r="B2" s="147"/>
      <c r="C2" s="144"/>
      <c r="D2" s="144"/>
      <c r="E2" s="144"/>
      <c r="F2" s="148"/>
      <c r="G2" s="148"/>
      <c r="H2" s="148"/>
      <c r="J2" s="264" t="str">
        <f>【様式１】総括表・個票!$AJ$2</f>
        <v>加-25_4月申-</v>
      </c>
      <c r="K2" s="137"/>
      <c r="AM2" s="78"/>
    </row>
    <row r="3" spans="1:41" ht="20.100000000000001" customHeight="1" thickBot="1">
      <c r="A3" s="149" t="s">
        <v>452</v>
      </c>
      <c r="B3" s="144"/>
      <c r="C3" s="150">
        <f>DATE(K4,M4,1)</f>
        <v>45748</v>
      </c>
      <c r="D3" s="144"/>
      <c r="E3" s="144"/>
      <c r="F3" s="144"/>
      <c r="G3" s="151"/>
      <c r="H3" s="152"/>
      <c r="J3" s="264" t="str">
        <f>【様式１】総括表・個票!$AJ$3</f>
        <v>-認_Ver.4.02</v>
      </c>
      <c r="K3" s="137" t="s">
        <v>69</v>
      </c>
      <c r="AM3" s="78"/>
    </row>
    <row r="4" spans="1:41" ht="20.100000000000001" customHeight="1" thickBot="1">
      <c r="A4" s="153" t="s">
        <v>656</v>
      </c>
      <c r="B4" s="154" t="s">
        <v>453</v>
      </c>
      <c r="C4" s="154" t="s">
        <v>454</v>
      </c>
      <c r="D4" s="155" t="s">
        <v>455</v>
      </c>
      <c r="E4" s="156" t="s">
        <v>456</v>
      </c>
      <c r="F4" s="155" t="s">
        <v>162</v>
      </c>
      <c r="G4" s="151"/>
      <c r="H4" s="152"/>
      <c r="K4" s="157">
        <f>【様式１】総括表・個票!D10</f>
        <v>2025</v>
      </c>
      <c r="L4" s="392" t="s">
        <v>11</v>
      </c>
      <c r="M4" s="392">
        <f>【様式１】総括表・個票!I10</f>
        <v>4</v>
      </c>
      <c r="N4" s="963" t="s">
        <v>308</v>
      </c>
    </row>
    <row r="5" spans="1:41" ht="20.100000000000001" customHeight="1">
      <c r="A5" s="1206"/>
      <c r="B5" s="158">
        <v>1</v>
      </c>
      <c r="C5" s="159">
        <f>HLOOKUP($B5,$K$6:$AO$7,2,FALSE)</f>
        <v>5</v>
      </c>
      <c r="D5" s="160" t="str">
        <f>IF(C5="無","×",IF(HLOOKUP($B5,$K$6:$AO$8,3,FALSE)="○","祝日",IF($A5="○","特例","平日")))</f>
        <v>平日</v>
      </c>
      <c r="E5" s="161"/>
      <c r="F5" s="162" t="str">
        <f>IF(AND($D5="平日",OR($E5=0,ISTEXT($E5))),"○",IF(AND($D5&lt;&gt;"平日",E5&gt;0),"エラー",""))</f>
        <v>○</v>
      </c>
      <c r="G5" s="151"/>
      <c r="H5" s="152"/>
      <c r="J5" s="137" t="s">
        <v>457</v>
      </c>
      <c r="K5" s="163">
        <f>IF(K7&lt;&gt;"",IF(WEEKDAY(DATE($K$4,$M$4,K$7))=7,1,0),0)</f>
        <v>0</v>
      </c>
      <c r="L5" s="163">
        <f t="shared" ref="L5:AO5" si="0">IF(L7&lt;&gt;"",IF(WEEKDAY(DATE($K$4,$M$4,L$7))=7,1,0),0)</f>
        <v>0</v>
      </c>
      <c r="M5" s="163">
        <f t="shared" si="0"/>
        <v>0</v>
      </c>
      <c r="N5" s="163">
        <f t="shared" si="0"/>
        <v>0</v>
      </c>
      <c r="O5" s="163">
        <f t="shared" si="0"/>
        <v>1</v>
      </c>
      <c r="P5" s="163">
        <f t="shared" si="0"/>
        <v>0</v>
      </c>
      <c r="Q5" s="163">
        <f t="shared" si="0"/>
        <v>0</v>
      </c>
      <c r="R5" s="163">
        <f t="shared" si="0"/>
        <v>0</v>
      </c>
      <c r="S5" s="163">
        <f t="shared" si="0"/>
        <v>0</v>
      </c>
      <c r="T5" s="163">
        <f t="shared" si="0"/>
        <v>0</v>
      </c>
      <c r="U5" s="163">
        <f t="shared" si="0"/>
        <v>0</v>
      </c>
      <c r="V5" s="163">
        <f t="shared" si="0"/>
        <v>1</v>
      </c>
      <c r="W5" s="163">
        <f t="shared" si="0"/>
        <v>0</v>
      </c>
      <c r="X5" s="163">
        <f t="shared" si="0"/>
        <v>0</v>
      </c>
      <c r="Y5" s="163">
        <f t="shared" si="0"/>
        <v>0</v>
      </c>
      <c r="Z5" s="163">
        <f t="shared" si="0"/>
        <v>0</v>
      </c>
      <c r="AA5" s="163">
        <f t="shared" si="0"/>
        <v>0</v>
      </c>
      <c r="AB5" s="163">
        <f t="shared" si="0"/>
        <v>0</v>
      </c>
      <c r="AC5" s="163">
        <f t="shared" si="0"/>
        <v>1</v>
      </c>
      <c r="AD5" s="163">
        <f t="shared" si="0"/>
        <v>0</v>
      </c>
      <c r="AE5" s="163">
        <f t="shared" si="0"/>
        <v>0</v>
      </c>
      <c r="AF5" s="163">
        <f t="shared" si="0"/>
        <v>0</v>
      </c>
      <c r="AG5" s="163">
        <f t="shared" si="0"/>
        <v>0</v>
      </c>
      <c r="AH5" s="163">
        <f t="shared" si="0"/>
        <v>0</v>
      </c>
      <c r="AI5" s="163">
        <f t="shared" si="0"/>
        <v>0</v>
      </c>
      <c r="AJ5" s="163">
        <f t="shared" si="0"/>
        <v>1</v>
      </c>
      <c r="AK5" s="163">
        <f t="shared" si="0"/>
        <v>0</v>
      </c>
      <c r="AL5" s="163">
        <f t="shared" si="0"/>
        <v>0</v>
      </c>
      <c r="AM5" s="163">
        <f t="shared" si="0"/>
        <v>0</v>
      </c>
      <c r="AN5" s="163">
        <f t="shared" si="0"/>
        <v>0</v>
      </c>
      <c r="AO5" s="163">
        <f t="shared" si="0"/>
        <v>0</v>
      </c>
    </row>
    <row r="6" spans="1:41" ht="20.100000000000001" customHeight="1">
      <c r="A6" s="1207"/>
      <c r="B6" s="164">
        <v>2</v>
      </c>
      <c r="C6" s="165">
        <f>HLOOKUP($B6,$K$6:$AO$7,2,FALSE)</f>
        <v>12</v>
      </c>
      <c r="D6" s="166" t="str">
        <f>IF(C6="無","×",IF(HLOOKUP($B6,$K$6:$AO$8,3,FALSE)="○","祝日",IF($A6="○","特例","平日")))</f>
        <v>平日</v>
      </c>
      <c r="E6" s="167"/>
      <c r="F6" s="168" t="str">
        <f t="shared" ref="F6:F9" si="1">IF(AND($D6="平日",OR($E6=0,ISTEXT($E6))),"○",IF(AND($D6&lt;&gt;"平日",E6&gt;0),"エラー",""))</f>
        <v>○</v>
      </c>
      <c r="G6" s="151"/>
      <c r="H6" s="152"/>
      <c r="J6" s="137" t="s">
        <v>458</v>
      </c>
      <c r="K6" s="169">
        <f>IF(K5&lt;&gt;1,0,COUNTIF($K$5:K5,1))</f>
        <v>0</v>
      </c>
      <c r="L6" s="169">
        <f>IF(L5&lt;&gt;1,0,COUNTIF($K$5:L5,1))</f>
        <v>0</v>
      </c>
      <c r="M6" s="169">
        <f>IF(M5&lt;&gt;1,0,COUNTIF($K$5:M5,1))</f>
        <v>0</v>
      </c>
      <c r="N6" s="169">
        <f>IF(N5&lt;&gt;1,0,COUNTIF($K$5:N5,1))</f>
        <v>0</v>
      </c>
      <c r="O6" s="169">
        <f>IF(O5&lt;&gt;1,0,COUNTIF($K$5:O5,1))</f>
        <v>1</v>
      </c>
      <c r="P6" s="169">
        <f>IF(P5&lt;&gt;1,0,COUNTIF($K$5:P5,1))</f>
        <v>0</v>
      </c>
      <c r="Q6" s="169">
        <f>IF(Q5&lt;&gt;1,0,COUNTIF($K$5:Q5,1))</f>
        <v>0</v>
      </c>
      <c r="R6" s="169">
        <f>IF(R5&lt;&gt;1,0,COUNTIF($K$5:R5,1))</f>
        <v>0</v>
      </c>
      <c r="S6" s="169">
        <f>IF(S5&lt;&gt;1,0,COUNTIF($K$5:S5,1))</f>
        <v>0</v>
      </c>
      <c r="T6" s="169">
        <f>IF(T5&lt;&gt;1,0,COUNTIF($K$5:T5,1))</f>
        <v>0</v>
      </c>
      <c r="U6" s="169">
        <f>IF(U5&lt;&gt;1,0,COUNTIF($K$5:U5,1))</f>
        <v>0</v>
      </c>
      <c r="V6" s="169">
        <f>IF(V5&lt;&gt;1,0,COUNTIF($K$5:V5,1))</f>
        <v>2</v>
      </c>
      <c r="W6" s="169">
        <f>IF(W5&lt;&gt;1,0,COUNTIF($K$5:W5,1))</f>
        <v>0</v>
      </c>
      <c r="X6" s="169">
        <f>IF(X5&lt;&gt;1,0,COUNTIF($K$5:X5,1))</f>
        <v>0</v>
      </c>
      <c r="Y6" s="169">
        <f>IF(Y5&lt;&gt;1,0,COUNTIF($K$5:Y5,1))</f>
        <v>0</v>
      </c>
      <c r="Z6" s="169">
        <f>IF(Z5&lt;&gt;1,0,COUNTIF($K$5:Z5,1))</f>
        <v>0</v>
      </c>
      <c r="AA6" s="169">
        <f>IF(AA5&lt;&gt;1,0,COUNTIF($K$5:AA5,1))</f>
        <v>0</v>
      </c>
      <c r="AB6" s="169">
        <f>IF(AB5&lt;&gt;1,0,COUNTIF($K$5:AB5,1))</f>
        <v>0</v>
      </c>
      <c r="AC6" s="169">
        <f>IF(AC5&lt;&gt;1,0,COUNTIF($K$5:AC5,1))</f>
        <v>3</v>
      </c>
      <c r="AD6" s="169">
        <f>IF(AD5&lt;&gt;1,0,COUNTIF($K$5:AD5,1))</f>
        <v>0</v>
      </c>
      <c r="AE6" s="169">
        <f>IF(AE5&lt;&gt;1,0,COUNTIF($K$5:AE5,1))</f>
        <v>0</v>
      </c>
      <c r="AF6" s="169">
        <f>IF(AF5&lt;&gt;1,0,COUNTIF($K$5:AF5,1))</f>
        <v>0</v>
      </c>
      <c r="AG6" s="169">
        <f>IF(AG5&lt;&gt;1,0,COUNTIF($K$5:AG5,1))</f>
        <v>0</v>
      </c>
      <c r="AH6" s="169">
        <f>IF(AH5&lt;&gt;1,0,COUNTIF($K$5:AH5,1))</f>
        <v>0</v>
      </c>
      <c r="AI6" s="169">
        <f>IF(AI5&lt;&gt;1,0,COUNTIF($K$5:AI5,1))</f>
        <v>0</v>
      </c>
      <c r="AJ6" s="169">
        <f>IF(AJ5&lt;&gt;1,0,COUNTIF($K$5:AJ5,1))</f>
        <v>4</v>
      </c>
      <c r="AK6" s="169">
        <f>IF(AK5&lt;&gt;1,0,COUNTIF($K$5:AK5,1))</f>
        <v>0</v>
      </c>
      <c r="AL6" s="169">
        <f>IF(AL5&lt;&gt;1,0,COUNTIF($K$5:AL5,1))</f>
        <v>0</v>
      </c>
      <c r="AM6" s="169">
        <f>IF(AM5&lt;&gt;1,0,COUNTIF($K$5:AM5,1))</f>
        <v>0</v>
      </c>
      <c r="AN6" s="169">
        <f>IF(AN5&lt;&gt;1,0,COUNTIF($K$5:AN5,1))</f>
        <v>0</v>
      </c>
      <c r="AO6" s="169">
        <f>IF(AO5&lt;&gt;1,0,COUNTIF($K$5:AO5,1))</f>
        <v>0</v>
      </c>
    </row>
    <row r="7" spans="1:41" ht="20.100000000000001" customHeight="1">
      <c r="A7" s="1207"/>
      <c r="B7" s="164">
        <v>3</v>
      </c>
      <c r="C7" s="165">
        <f>HLOOKUP($B7,$K$6:$AO$7,2,FALSE)</f>
        <v>19</v>
      </c>
      <c r="D7" s="166" t="str">
        <f>IF(C7="無","×",IF(HLOOKUP($B7,$K$6:$AO$8,3,FALSE)="○","祝日",IF($A7="○","特例","平日")))</f>
        <v>平日</v>
      </c>
      <c r="E7" s="167"/>
      <c r="F7" s="168" t="str">
        <f t="shared" si="1"/>
        <v>○</v>
      </c>
      <c r="G7" s="151"/>
      <c r="H7" s="152"/>
      <c r="J7" s="137" t="s">
        <v>454</v>
      </c>
      <c r="K7" s="956">
        <v>1</v>
      </c>
      <c r="L7" s="956">
        <v>2</v>
      </c>
      <c r="M7" s="956">
        <v>3</v>
      </c>
      <c r="N7" s="956">
        <v>4</v>
      </c>
      <c r="O7" s="956">
        <v>5</v>
      </c>
      <c r="P7" s="956">
        <v>6</v>
      </c>
      <c r="Q7" s="956">
        <v>7</v>
      </c>
      <c r="R7" s="956">
        <v>8</v>
      </c>
      <c r="S7" s="956">
        <v>9</v>
      </c>
      <c r="T7" s="956">
        <v>10</v>
      </c>
      <c r="U7" s="956">
        <v>11</v>
      </c>
      <c r="V7" s="956">
        <v>12</v>
      </c>
      <c r="W7" s="956">
        <v>13</v>
      </c>
      <c r="X7" s="956">
        <v>14</v>
      </c>
      <c r="Y7" s="956">
        <v>15</v>
      </c>
      <c r="Z7" s="956">
        <v>16</v>
      </c>
      <c r="AA7" s="956">
        <v>17</v>
      </c>
      <c r="AB7" s="956">
        <v>18</v>
      </c>
      <c r="AC7" s="956">
        <v>19</v>
      </c>
      <c r="AD7" s="956">
        <v>20</v>
      </c>
      <c r="AE7" s="956">
        <v>21</v>
      </c>
      <c r="AF7" s="956">
        <v>22</v>
      </c>
      <c r="AG7" s="956">
        <v>23</v>
      </c>
      <c r="AH7" s="956">
        <v>24</v>
      </c>
      <c r="AI7" s="956">
        <v>25</v>
      </c>
      <c r="AJ7" s="956">
        <v>26</v>
      </c>
      <c r="AK7" s="956">
        <v>27</v>
      </c>
      <c r="AL7" s="956">
        <v>28</v>
      </c>
      <c r="AM7" s="956">
        <f>IF(MONTH(DATE(K4,M4,AL7+1))=M4,AL7+1,"")</f>
        <v>29</v>
      </c>
      <c r="AN7" s="956">
        <f>IF(M4&lt;&gt;2,IF(AM7&lt;&gt;"",AM7+1,""),"")</f>
        <v>30</v>
      </c>
      <c r="AO7" s="956" t="str">
        <f>IF(OR(M4=1,M4=3,M4=5,M4=7,M4=8,M4=10,M4=12),AN7+1,"")</f>
        <v/>
      </c>
    </row>
    <row r="8" spans="1:41" ht="20.100000000000001" customHeight="1">
      <c r="A8" s="1207"/>
      <c r="B8" s="164">
        <v>4</v>
      </c>
      <c r="C8" s="165">
        <f>HLOOKUP($B8,$K$6:$AO$7,2,FALSE)</f>
        <v>26</v>
      </c>
      <c r="D8" s="166" t="str">
        <f>IF(C8="無","×",IF(HLOOKUP($B8,$K$6:$AO$8,3,FALSE)="○","祝日",IF($A8="○","特例","平日")))</f>
        <v>平日</v>
      </c>
      <c r="E8" s="167"/>
      <c r="F8" s="168" t="str">
        <f t="shared" si="1"/>
        <v>○</v>
      </c>
      <c r="G8" s="151"/>
      <c r="H8" s="152"/>
      <c r="J8" s="137" t="s">
        <v>450</v>
      </c>
      <c r="K8" s="170" t="str">
        <f>IF(K7&lt;&gt;"",IF(OR(WEEKDAY(DATE($K$4,$M$4,K$7),2)&gt;6,COUNTIF('休日情報(要更新)'!$A$5:$J$32,DATE($K$4,$M$4,K$7)) &gt;=1),"○",""),"")</f>
        <v/>
      </c>
      <c r="L8" s="170" t="str">
        <f>IF(L7&lt;&gt;"",IF(OR(WEEKDAY(DATE($K$4,$M$4,L$7),2)&gt;6,COUNTIF('休日情報(要更新)'!$A$5:$J$32,DATE($K$4,$M$4,L$7)) &gt;=1),"○",""),"")</f>
        <v/>
      </c>
      <c r="M8" s="170" t="str">
        <f>IF(M7&lt;&gt;"",IF(OR(WEEKDAY(DATE($K$4,$M$4,M$7),2)&gt;6,COUNTIF('休日情報(要更新)'!$A$5:$J$32,DATE($K$4,$M$4,M$7)) &gt;=1),"○",""),"")</f>
        <v/>
      </c>
      <c r="N8" s="170" t="str">
        <f>IF(N7&lt;&gt;"",IF(OR(WEEKDAY(DATE($K$4,$M$4,N$7),2)&gt;6,COUNTIF('休日情報(要更新)'!$A$5:$J$32,DATE($K$4,$M$4,N$7)) &gt;=1),"○",""),"")</f>
        <v/>
      </c>
      <c r="O8" s="170" t="str">
        <f>IF(O7&lt;&gt;"",IF(OR(WEEKDAY(DATE($K$4,$M$4,O$7),2)&gt;6,COUNTIF('休日情報(要更新)'!$A$5:$J$32,DATE($K$4,$M$4,O$7)) &gt;=1),"○",""),"")</f>
        <v/>
      </c>
      <c r="P8" s="170" t="str">
        <f>IF(P7&lt;&gt;"",IF(OR(WEEKDAY(DATE($K$4,$M$4,P$7),2)&gt;6,COUNTIF('休日情報(要更新)'!$A$5:$J$32,DATE($K$4,$M$4,P$7)) &gt;=1),"○",""),"")</f>
        <v>○</v>
      </c>
      <c r="Q8" s="170" t="str">
        <f>IF(Q7&lt;&gt;"",IF(OR(WEEKDAY(DATE($K$4,$M$4,Q$7),2)&gt;6,COUNTIF('休日情報(要更新)'!$A$5:$J$32,DATE($K$4,$M$4,Q$7)) &gt;=1),"○",""),"")</f>
        <v/>
      </c>
      <c r="R8" s="170" t="str">
        <f>IF(R7&lt;&gt;"",IF(OR(WEEKDAY(DATE($K$4,$M$4,R$7),2)&gt;6,COUNTIF('休日情報(要更新)'!$A$5:$J$32,DATE($K$4,$M$4,R$7)) &gt;=1),"○",""),"")</f>
        <v/>
      </c>
      <c r="S8" s="170" t="str">
        <f>IF(S7&lt;&gt;"",IF(OR(WEEKDAY(DATE($K$4,$M$4,S$7),2)&gt;6,COUNTIF('休日情報(要更新)'!$A$5:$J$32,DATE($K$4,$M$4,S$7)) &gt;=1),"○",""),"")</f>
        <v/>
      </c>
      <c r="T8" s="170" t="str">
        <f>IF(T7&lt;&gt;"",IF(OR(WEEKDAY(DATE($K$4,$M$4,T$7),2)&gt;6,COUNTIF('休日情報(要更新)'!$A$5:$J$32,DATE($K$4,$M$4,T$7)) &gt;=1),"○",""),"")</f>
        <v/>
      </c>
      <c r="U8" s="170" t="str">
        <f>IF(U7&lt;&gt;"",IF(OR(WEEKDAY(DATE($K$4,$M$4,U$7),2)&gt;6,COUNTIF('休日情報(要更新)'!$A$5:$J$32,DATE($K$4,$M$4,U$7)) &gt;=1),"○",""),"")</f>
        <v/>
      </c>
      <c r="V8" s="170" t="str">
        <f>IF(V7&lt;&gt;"",IF(OR(WEEKDAY(DATE($K$4,$M$4,V$7),2)&gt;6,COUNTIF('休日情報(要更新)'!$A$5:$J$32,DATE($K$4,$M$4,V$7)) &gt;=1),"○",""),"")</f>
        <v/>
      </c>
      <c r="W8" s="170" t="str">
        <f>IF(W7&lt;&gt;"",IF(OR(WEEKDAY(DATE($K$4,$M$4,W$7),2)&gt;6,COUNTIF('休日情報(要更新)'!$A$5:$J$32,DATE($K$4,$M$4,W$7)) &gt;=1),"○",""),"")</f>
        <v>○</v>
      </c>
      <c r="X8" s="170" t="str">
        <f>IF(X7&lt;&gt;"",IF(OR(WEEKDAY(DATE($K$4,$M$4,X$7),2)&gt;6,COUNTIF('休日情報(要更新)'!$A$5:$J$32,DATE($K$4,$M$4,X$7)) &gt;=1),"○",""),"")</f>
        <v/>
      </c>
      <c r="Y8" s="170" t="str">
        <f>IF(Y7&lt;&gt;"",IF(OR(WEEKDAY(DATE($K$4,$M$4,Y$7),2)&gt;6,COUNTIF('休日情報(要更新)'!$A$5:$J$32,DATE($K$4,$M$4,Y$7)) &gt;=1),"○",""),"")</f>
        <v/>
      </c>
      <c r="Z8" s="170" t="str">
        <f>IF(Z7&lt;&gt;"",IF(OR(WEEKDAY(DATE($K$4,$M$4,Z$7),2)&gt;6,COUNTIF('休日情報(要更新)'!$A$5:$J$32,DATE($K$4,$M$4,Z$7)) &gt;=1),"○",""),"")</f>
        <v/>
      </c>
      <c r="AA8" s="170" t="str">
        <f>IF(AA7&lt;&gt;"",IF(OR(WEEKDAY(DATE($K$4,$M$4,AA$7),2)&gt;6,COUNTIF('休日情報(要更新)'!$A$5:$J$32,DATE($K$4,$M$4,AA$7)) &gt;=1),"○",""),"")</f>
        <v/>
      </c>
      <c r="AB8" s="170" t="str">
        <f>IF(AB7&lt;&gt;"",IF(OR(WEEKDAY(DATE($K$4,$M$4,AB$7),2)&gt;6,COUNTIF('休日情報(要更新)'!$A$5:$J$32,DATE($K$4,$M$4,AB$7)) &gt;=1),"○",""),"")</f>
        <v/>
      </c>
      <c r="AC8" s="170" t="str">
        <f>IF(AC7&lt;&gt;"",IF(OR(WEEKDAY(DATE($K$4,$M$4,AC$7),2)&gt;6,COUNTIF('休日情報(要更新)'!$A$5:$J$32,DATE($K$4,$M$4,AC$7)) &gt;=1),"○",""),"")</f>
        <v/>
      </c>
      <c r="AD8" s="170" t="str">
        <f>IF(AD7&lt;&gt;"",IF(OR(WEEKDAY(DATE($K$4,$M$4,AD$7),2)&gt;6,COUNTIF('休日情報(要更新)'!$A$5:$J$32,DATE($K$4,$M$4,AD$7)) &gt;=1),"○",""),"")</f>
        <v>○</v>
      </c>
      <c r="AE8" s="170" t="str">
        <f>IF(AE7&lt;&gt;"",IF(OR(WEEKDAY(DATE($K$4,$M$4,AE$7),2)&gt;6,COUNTIF('休日情報(要更新)'!$A$5:$J$32,DATE($K$4,$M$4,AE$7)) &gt;=1),"○",""),"")</f>
        <v/>
      </c>
      <c r="AF8" s="170" t="str">
        <f>IF(AF7&lt;&gt;"",IF(OR(WEEKDAY(DATE($K$4,$M$4,AF$7),2)&gt;6,COUNTIF('休日情報(要更新)'!$A$5:$J$32,DATE($K$4,$M$4,AF$7)) &gt;=1),"○",""),"")</f>
        <v/>
      </c>
      <c r="AG8" s="170" t="str">
        <f>IF(AG7&lt;&gt;"",IF(OR(WEEKDAY(DATE($K$4,$M$4,AG$7),2)&gt;6,COUNTIF('休日情報(要更新)'!$A$5:$J$32,DATE($K$4,$M$4,AG$7)) &gt;=1),"○",""),"")</f>
        <v/>
      </c>
      <c r="AH8" s="170" t="str">
        <f>IF(AH7&lt;&gt;"",IF(OR(WEEKDAY(DATE($K$4,$M$4,AH$7),2)&gt;6,COUNTIF('休日情報(要更新)'!$A$5:$J$32,DATE($K$4,$M$4,AH$7)) &gt;=1),"○",""),"")</f>
        <v/>
      </c>
      <c r="AI8" s="170" t="str">
        <f>IF(AI7&lt;&gt;"",IF(OR(WEEKDAY(DATE($K$4,$M$4,AI$7),2)&gt;6,COUNTIF('休日情報(要更新)'!$A$5:$J$32,DATE($K$4,$M$4,AI$7)) &gt;=1),"○",""),"")</f>
        <v/>
      </c>
      <c r="AJ8" s="170" t="str">
        <f>IF(AJ7&lt;&gt;"",IF(OR(WEEKDAY(DATE($K$4,$M$4,AJ$7),2)&gt;6,COUNTIF('休日情報(要更新)'!$A$5:$J$32,DATE($K$4,$M$4,AJ$7)) &gt;=1),"○",""),"")</f>
        <v/>
      </c>
      <c r="AK8" s="170" t="str">
        <f>IF(AK7&lt;&gt;"",IF(OR(WEEKDAY(DATE($K$4,$M$4,AK$7),2)&gt;6,COUNTIF('休日情報(要更新)'!$A$5:$J$32,DATE($K$4,$M$4,AK$7)) &gt;=1),"○",""),"")</f>
        <v>○</v>
      </c>
      <c r="AL8" s="170" t="str">
        <f>IF(AL7&lt;&gt;"",IF(OR(WEEKDAY(DATE($K$4,$M$4,AL$7),2)&gt;6,COUNTIF('休日情報(要更新)'!$A$5:$J$32,DATE($K$4,$M$4,AL$7)) &gt;=1),"○",""),"")</f>
        <v/>
      </c>
      <c r="AM8" s="170" t="str">
        <f>IF(AM7&lt;&gt;"",IF(OR(WEEKDAY(DATE($K$4,$M$4,AM$7),2)&gt;6,COUNTIF('休日情報(要更新)'!$A$5:$J$32,DATE($K$4,$M$4,AM$7)) &gt;=1),"○",""),"")</f>
        <v>○</v>
      </c>
      <c r="AN8" s="170" t="str">
        <f>IF(AN7&lt;&gt;"",IF(OR(WEEKDAY(DATE($K$4,$M$4,AN$7),2)&gt;6,COUNTIF('休日情報(要更新)'!$A$5:$J$32,DATE($K$4,$M$4,AN$7)) &gt;=1),"○",""),"")</f>
        <v/>
      </c>
      <c r="AO8" s="170" t="str">
        <f>IF(AO7&lt;&gt;"",IF(OR(WEEKDAY(DATE($K$4,$M$4,AO$7),2)&gt;6,COUNTIF('休日情報(要更新)'!$A$5:$J$32,DATE($K$4,$M$4,AO$7)) &gt;=1),"○",""),"")</f>
        <v/>
      </c>
    </row>
    <row r="9" spans="1:41" ht="20.100000000000001" customHeight="1">
      <c r="A9" s="1208"/>
      <c r="B9" s="171">
        <v>5</v>
      </c>
      <c r="C9" s="172" t="str">
        <f>IF(ISERROR(HLOOKUP($B9,$K$6:$AO$7,2,FALSE)),"無",HLOOKUP($B9,$K$6:$AO$7,2,FALSE))</f>
        <v>無</v>
      </c>
      <c r="D9" s="173" t="str">
        <f>IF(C9="無","×",IF(HLOOKUP($B9,$K$6:$AO$8,3,FALSE)="○","祝日",IF($A9="○","特例","平日")))</f>
        <v>×</v>
      </c>
      <c r="E9" s="174"/>
      <c r="F9" s="175" t="str">
        <f t="shared" si="1"/>
        <v/>
      </c>
      <c r="G9" s="151"/>
      <c r="H9" s="152"/>
    </row>
    <row r="10" spans="1:41" ht="20.100000000000001" customHeight="1">
      <c r="A10" s="2167" t="s">
        <v>15</v>
      </c>
      <c r="B10" s="2168"/>
      <c r="C10" s="2168"/>
      <c r="D10" s="176">
        <f>COUNTIF(D5:D9,"平日")+COUNTIF(D5:D9,"特例")</f>
        <v>4</v>
      </c>
      <c r="E10" s="177"/>
      <c r="F10" s="176">
        <f>COUNTIF(F5:F9,"○")</f>
        <v>4</v>
      </c>
      <c r="G10" s="151"/>
      <c r="H10" s="152"/>
    </row>
    <row r="11" spans="1:41" ht="20.100000000000001" customHeight="1" thickBot="1">
      <c r="A11" s="149"/>
      <c r="B11" s="178" t="s">
        <v>459</v>
      </c>
      <c r="C11" s="178" t="str">
        <f>IF(F10=D10,"全て",IF(F10&gt;=3,"3日以上",IF(F10=2,"2日",IF(F10=1,"1日","×"))))</f>
        <v>全て</v>
      </c>
      <c r="D11" s="179"/>
      <c r="E11" s="144"/>
      <c r="F11" s="179"/>
      <c r="G11" s="151"/>
      <c r="H11" s="152"/>
    </row>
    <row r="12" spans="1:41" ht="20.100000000000001" customHeight="1" thickTop="1" thickBot="1">
      <c r="A12" s="149"/>
      <c r="B12" s="144"/>
      <c r="C12" s="144"/>
      <c r="D12" s="144"/>
      <c r="E12" s="144"/>
      <c r="F12" s="144"/>
      <c r="G12" s="151"/>
      <c r="H12" s="152"/>
      <c r="K12" s="157">
        <f>YEAR(DATE($K$4,$M$4,1)-1)</f>
        <v>2025</v>
      </c>
      <c r="L12" s="392" t="s">
        <v>11</v>
      </c>
      <c r="M12" s="392">
        <f>MONTH(DATE($K$4,$M$4,1)-1)</f>
        <v>3</v>
      </c>
      <c r="N12" s="963" t="s">
        <v>308</v>
      </c>
    </row>
    <row r="13" spans="1:41" ht="20.100000000000001" customHeight="1">
      <c r="A13" s="149" t="s">
        <v>460</v>
      </c>
      <c r="B13" s="144"/>
      <c r="C13" s="150">
        <f>C3-1</f>
        <v>45747</v>
      </c>
      <c r="D13" s="144"/>
      <c r="E13" s="144"/>
      <c r="F13" s="144"/>
      <c r="G13" s="151"/>
      <c r="H13" s="152"/>
      <c r="J13" s="137" t="s">
        <v>457</v>
      </c>
      <c r="K13" s="163">
        <f>IF(K15&lt;&gt;"",IF(WEEKDAY(DATE($K$12,$M$12,K$15))=7,1,0),0)</f>
        <v>1</v>
      </c>
      <c r="L13" s="163">
        <f t="shared" ref="L13:AO13" si="2">IF(L15&lt;&gt;"",IF(WEEKDAY(DATE($K$12,$M$12,L$15))=7,1,0),0)</f>
        <v>0</v>
      </c>
      <c r="M13" s="163">
        <f t="shared" si="2"/>
        <v>0</v>
      </c>
      <c r="N13" s="163">
        <f t="shared" si="2"/>
        <v>0</v>
      </c>
      <c r="O13" s="163">
        <f t="shared" si="2"/>
        <v>0</v>
      </c>
      <c r="P13" s="163">
        <f t="shared" si="2"/>
        <v>0</v>
      </c>
      <c r="Q13" s="163">
        <f t="shared" si="2"/>
        <v>0</v>
      </c>
      <c r="R13" s="163">
        <f t="shared" si="2"/>
        <v>1</v>
      </c>
      <c r="S13" s="163">
        <f t="shared" si="2"/>
        <v>0</v>
      </c>
      <c r="T13" s="163">
        <f t="shared" si="2"/>
        <v>0</v>
      </c>
      <c r="U13" s="163">
        <f t="shared" si="2"/>
        <v>0</v>
      </c>
      <c r="V13" s="163">
        <f t="shared" si="2"/>
        <v>0</v>
      </c>
      <c r="W13" s="163">
        <f t="shared" si="2"/>
        <v>0</v>
      </c>
      <c r="X13" s="163">
        <f t="shared" si="2"/>
        <v>0</v>
      </c>
      <c r="Y13" s="163">
        <f t="shared" si="2"/>
        <v>1</v>
      </c>
      <c r="Z13" s="163">
        <f t="shared" si="2"/>
        <v>0</v>
      </c>
      <c r="AA13" s="163">
        <f t="shared" si="2"/>
        <v>0</v>
      </c>
      <c r="AB13" s="163">
        <f t="shared" si="2"/>
        <v>0</v>
      </c>
      <c r="AC13" s="163">
        <f t="shared" si="2"/>
        <v>0</v>
      </c>
      <c r="AD13" s="163">
        <f t="shared" si="2"/>
        <v>0</v>
      </c>
      <c r="AE13" s="163">
        <f t="shared" si="2"/>
        <v>0</v>
      </c>
      <c r="AF13" s="163">
        <f t="shared" si="2"/>
        <v>1</v>
      </c>
      <c r="AG13" s="163">
        <f t="shared" si="2"/>
        <v>0</v>
      </c>
      <c r="AH13" s="163">
        <f t="shared" si="2"/>
        <v>0</v>
      </c>
      <c r="AI13" s="163">
        <f t="shared" si="2"/>
        <v>0</v>
      </c>
      <c r="AJ13" s="163">
        <f t="shared" si="2"/>
        <v>0</v>
      </c>
      <c r="AK13" s="163">
        <f t="shared" si="2"/>
        <v>0</v>
      </c>
      <c r="AL13" s="163">
        <f t="shared" si="2"/>
        <v>0</v>
      </c>
      <c r="AM13" s="163">
        <f t="shared" si="2"/>
        <v>1</v>
      </c>
      <c r="AN13" s="163">
        <f t="shared" si="2"/>
        <v>0</v>
      </c>
      <c r="AO13" s="163">
        <f t="shared" si="2"/>
        <v>0</v>
      </c>
    </row>
    <row r="14" spans="1:41" ht="20.100000000000001" customHeight="1">
      <c r="A14" s="153" t="s">
        <v>656</v>
      </c>
      <c r="B14" s="154" t="s">
        <v>453</v>
      </c>
      <c r="C14" s="154" t="s">
        <v>454</v>
      </c>
      <c r="D14" s="155" t="s">
        <v>455</v>
      </c>
      <c r="E14" s="156" t="s">
        <v>456</v>
      </c>
      <c r="F14" s="155" t="s">
        <v>461</v>
      </c>
      <c r="G14" s="156" t="s">
        <v>462</v>
      </c>
      <c r="H14" s="155" t="s">
        <v>636</v>
      </c>
      <c r="J14" s="137" t="s">
        <v>458</v>
      </c>
      <c r="K14" s="169">
        <f>IF(K13&lt;&gt;1,0,COUNTIF($K$13:K13,1))</f>
        <v>1</v>
      </c>
      <c r="L14" s="169">
        <f>IF(L13&lt;&gt;1,0,COUNTIF($K$13:L13,1))</f>
        <v>0</v>
      </c>
      <c r="M14" s="169">
        <f>IF(M13&lt;&gt;1,0,COUNTIF($K$13:M13,1))</f>
        <v>0</v>
      </c>
      <c r="N14" s="169">
        <f>IF(N13&lt;&gt;1,0,COUNTIF($K$13:N13,1))</f>
        <v>0</v>
      </c>
      <c r="O14" s="169">
        <f>IF(O13&lt;&gt;1,0,COUNTIF($K$13:O13,1))</f>
        <v>0</v>
      </c>
      <c r="P14" s="169">
        <f>IF(P13&lt;&gt;1,0,COUNTIF($K$13:P13,1))</f>
        <v>0</v>
      </c>
      <c r="Q14" s="169">
        <f>IF(Q13&lt;&gt;1,0,COUNTIF($K$13:Q13,1))</f>
        <v>0</v>
      </c>
      <c r="R14" s="169">
        <f>IF(R13&lt;&gt;1,0,COUNTIF($K$13:R13,1))</f>
        <v>2</v>
      </c>
      <c r="S14" s="169">
        <f>IF(S13&lt;&gt;1,0,COUNTIF($K$13:S13,1))</f>
        <v>0</v>
      </c>
      <c r="T14" s="169">
        <f>IF(T13&lt;&gt;1,0,COUNTIF($K$13:T13,1))</f>
        <v>0</v>
      </c>
      <c r="U14" s="169">
        <f>IF(U13&lt;&gt;1,0,COUNTIF($K$13:U13,1))</f>
        <v>0</v>
      </c>
      <c r="V14" s="169">
        <f>IF(V13&lt;&gt;1,0,COUNTIF($K$13:V13,1))</f>
        <v>0</v>
      </c>
      <c r="W14" s="169">
        <f>IF(W13&lt;&gt;1,0,COUNTIF($K$13:W13,1))</f>
        <v>0</v>
      </c>
      <c r="X14" s="169">
        <f>IF(X13&lt;&gt;1,0,COUNTIF($K$13:X13,1))</f>
        <v>0</v>
      </c>
      <c r="Y14" s="169">
        <f>IF(Y13&lt;&gt;1,0,COUNTIF($K$13:Y13,1))</f>
        <v>3</v>
      </c>
      <c r="Z14" s="169">
        <f>IF(Z13&lt;&gt;1,0,COUNTIF($K$13:Z13,1))</f>
        <v>0</v>
      </c>
      <c r="AA14" s="169">
        <f>IF(AA13&lt;&gt;1,0,COUNTIF($K$13:AA13,1))</f>
        <v>0</v>
      </c>
      <c r="AB14" s="169">
        <f>IF(AB13&lt;&gt;1,0,COUNTIF($K$13:AB13,1))</f>
        <v>0</v>
      </c>
      <c r="AC14" s="169">
        <f>IF(AC13&lt;&gt;1,0,COUNTIF($K$13:AC13,1))</f>
        <v>0</v>
      </c>
      <c r="AD14" s="169">
        <f>IF(AD13&lt;&gt;1,0,COUNTIF($K$13:AD13,1))</f>
        <v>0</v>
      </c>
      <c r="AE14" s="169">
        <f>IF(AE13&lt;&gt;1,0,COUNTIF($K$13:AE13,1))</f>
        <v>0</v>
      </c>
      <c r="AF14" s="169">
        <f>IF(AF13&lt;&gt;1,0,COUNTIF($K$13:AF13,1))</f>
        <v>4</v>
      </c>
      <c r="AG14" s="169">
        <f>IF(AG13&lt;&gt;1,0,COUNTIF($K$13:AG13,1))</f>
        <v>0</v>
      </c>
      <c r="AH14" s="169">
        <f>IF(AH13&lt;&gt;1,0,COUNTIF($K$13:AH13,1))</f>
        <v>0</v>
      </c>
      <c r="AI14" s="169">
        <f>IF(AI13&lt;&gt;1,0,COUNTIF($K$13:AI13,1))</f>
        <v>0</v>
      </c>
      <c r="AJ14" s="169">
        <f>IF(AJ13&lt;&gt;1,0,COUNTIF($K$13:AJ13,1))</f>
        <v>0</v>
      </c>
      <c r="AK14" s="169">
        <f>IF(AK13&lt;&gt;1,0,COUNTIF($K$13:AK13,1))</f>
        <v>0</v>
      </c>
      <c r="AL14" s="169">
        <f>IF(AL13&lt;&gt;1,0,COUNTIF($K$13:AL13,1))</f>
        <v>0</v>
      </c>
      <c r="AM14" s="169">
        <f>IF(AM13&lt;&gt;1,0,COUNTIF($K$13:AM13,1))</f>
        <v>5</v>
      </c>
      <c r="AN14" s="169">
        <f>IF(AN13&lt;&gt;1,0,COUNTIF($K$13:AN13,1))</f>
        <v>0</v>
      </c>
      <c r="AO14" s="169">
        <f>IF(AO13&lt;&gt;1,0,COUNTIF($K$13:AO13,1))</f>
        <v>0</v>
      </c>
    </row>
    <row r="15" spans="1:41" ht="20.100000000000001" customHeight="1">
      <c r="A15" s="1206"/>
      <c r="B15" s="158">
        <v>1</v>
      </c>
      <c r="C15" s="159">
        <f>HLOOKUP($B15,$K$14:$AO$15,2,FALSE)</f>
        <v>1</v>
      </c>
      <c r="D15" s="160" t="str">
        <f>IF(C15="無","×",IF(HLOOKUP($B15,$K$14:$AO$16,3,FALSE)="○","祝日",IF($A15="○","特例","平日")))</f>
        <v>平日</v>
      </c>
      <c r="E15" s="161"/>
      <c r="F15" s="162" t="str">
        <f>IF(AND($D15="平日",OR($E15=0,ISTEXT($E15))),"○",IF(AND($D15&lt;&gt;"平日",E15&gt;0),"エラー",""))</f>
        <v>○</v>
      </c>
      <c r="G15" s="161"/>
      <c r="H15" s="162" t="str">
        <f>IF(AND($D15="平日",OR($G15=0,ISTEXT($G15))),"○",IF(AND($D15&lt;&gt;"平日",$G15&gt;0),"エラー",""))</f>
        <v>○</v>
      </c>
      <c r="J15" s="137" t="s">
        <v>454</v>
      </c>
      <c r="K15" s="956">
        <v>1</v>
      </c>
      <c r="L15" s="956">
        <v>2</v>
      </c>
      <c r="M15" s="956">
        <v>3</v>
      </c>
      <c r="N15" s="956">
        <v>4</v>
      </c>
      <c r="O15" s="956">
        <v>5</v>
      </c>
      <c r="P15" s="956">
        <v>6</v>
      </c>
      <c r="Q15" s="956">
        <v>7</v>
      </c>
      <c r="R15" s="956">
        <v>8</v>
      </c>
      <c r="S15" s="956">
        <v>9</v>
      </c>
      <c r="T15" s="956">
        <v>10</v>
      </c>
      <c r="U15" s="956">
        <v>11</v>
      </c>
      <c r="V15" s="956">
        <v>12</v>
      </c>
      <c r="W15" s="956">
        <v>13</v>
      </c>
      <c r="X15" s="956">
        <v>14</v>
      </c>
      <c r="Y15" s="956">
        <v>15</v>
      </c>
      <c r="Z15" s="956">
        <v>16</v>
      </c>
      <c r="AA15" s="956">
        <v>17</v>
      </c>
      <c r="AB15" s="956">
        <v>18</v>
      </c>
      <c r="AC15" s="956">
        <v>19</v>
      </c>
      <c r="AD15" s="956">
        <v>20</v>
      </c>
      <c r="AE15" s="956">
        <v>21</v>
      </c>
      <c r="AF15" s="956">
        <v>22</v>
      </c>
      <c r="AG15" s="956">
        <v>23</v>
      </c>
      <c r="AH15" s="956">
        <v>24</v>
      </c>
      <c r="AI15" s="956">
        <v>25</v>
      </c>
      <c r="AJ15" s="956">
        <v>26</v>
      </c>
      <c r="AK15" s="956">
        <v>27</v>
      </c>
      <c r="AL15" s="956">
        <v>28</v>
      </c>
      <c r="AM15" s="956">
        <f>IF(MONTH(DATE(K12,M12,AL15+1))=M12,AL15+1,"")</f>
        <v>29</v>
      </c>
      <c r="AN15" s="956">
        <f>IF(M12&lt;&gt;2,IF(AM15&lt;&gt;"",AM15+1,""),"")</f>
        <v>30</v>
      </c>
      <c r="AO15" s="956">
        <f>IF(OR(M12=1,M12=3,M12=5,M12=7,M12=8,M12=10,M12=12),AN15+1,"")</f>
        <v>31</v>
      </c>
    </row>
    <row r="16" spans="1:41" ht="20.100000000000001" customHeight="1">
      <c r="A16" s="1207"/>
      <c r="B16" s="164">
        <v>2</v>
      </c>
      <c r="C16" s="165">
        <f>HLOOKUP($B16,$K$14:$AO$15,2,FALSE)</f>
        <v>8</v>
      </c>
      <c r="D16" s="166" t="str">
        <f t="shared" ref="D16:D19" si="3">IF(C16="無","×",IF(HLOOKUP($B16,$K$14:$AO$16,3,FALSE)="○","祝日",IF($A16="○","特例","平日")))</f>
        <v>平日</v>
      </c>
      <c r="E16" s="167"/>
      <c r="F16" s="168" t="str">
        <f t="shared" ref="F16:F19" si="4">IF(AND($D16="平日",OR($E16=0,ISTEXT($E16))),"○",IF(AND($D16&lt;&gt;"平日",E16&gt;0),"エラー",""))</f>
        <v>○</v>
      </c>
      <c r="G16" s="167"/>
      <c r="H16" s="168" t="str">
        <f t="shared" ref="H16:H19" si="5">IF(AND($D16="平日",OR($G16=0,ISTEXT($G16))),"○",IF(AND($D16&lt;&gt;"平日",$G16&gt;0),"エラー",""))</f>
        <v>○</v>
      </c>
      <c r="J16" s="137" t="s">
        <v>450</v>
      </c>
      <c r="K16" s="170" t="str">
        <f>IF(K15&lt;&gt;"",IF(OR(WEEKDAY(DATE($K$12,$M$12,K$15),2)&gt;6,COUNTIF('休日情報(要更新)'!$A$5:$J$32,DATE($K$12,$M$12,K$15)) &gt;=1),"○",""),"")</f>
        <v/>
      </c>
      <c r="L16" s="170" t="str">
        <f>IF(L15&lt;&gt;"",IF(OR(WEEKDAY(DATE($K$12,$M$12,L$15),2)&gt;6,COUNTIF('休日情報(要更新)'!$A$5:$J$32,DATE($K$12,$M$12,L$15)) &gt;=1),"○",""),"")</f>
        <v>○</v>
      </c>
      <c r="M16" s="170" t="str">
        <f>IF(M15&lt;&gt;"",IF(OR(WEEKDAY(DATE($K$12,$M$12,M$15),2)&gt;6,COUNTIF('休日情報(要更新)'!$A$5:$J$32,DATE($K$12,$M$12,M$15)) &gt;=1),"○",""),"")</f>
        <v/>
      </c>
      <c r="N16" s="170" t="str">
        <f>IF(N15&lt;&gt;"",IF(OR(WEEKDAY(DATE($K$12,$M$12,N$15),2)&gt;6,COUNTIF('休日情報(要更新)'!$A$5:$J$32,DATE($K$12,$M$12,N$15)) &gt;=1),"○",""),"")</f>
        <v/>
      </c>
      <c r="O16" s="170" t="str">
        <f>IF(O15&lt;&gt;"",IF(OR(WEEKDAY(DATE($K$12,$M$12,O$15),2)&gt;6,COUNTIF('休日情報(要更新)'!$A$5:$J$32,DATE($K$12,$M$12,O$15)) &gt;=1),"○",""),"")</f>
        <v/>
      </c>
      <c r="P16" s="170" t="str">
        <f>IF(P15&lt;&gt;"",IF(OR(WEEKDAY(DATE($K$12,$M$12,P$15),2)&gt;6,COUNTIF('休日情報(要更新)'!$A$5:$J$32,DATE($K$12,$M$12,P$15)) &gt;=1),"○",""),"")</f>
        <v/>
      </c>
      <c r="Q16" s="170" t="str">
        <f>IF(Q15&lt;&gt;"",IF(OR(WEEKDAY(DATE($K$12,$M$12,Q$15),2)&gt;6,COUNTIF('休日情報(要更新)'!$A$5:$J$32,DATE($K$12,$M$12,Q$15)) &gt;=1),"○",""),"")</f>
        <v/>
      </c>
      <c r="R16" s="170" t="str">
        <f>IF(R15&lt;&gt;"",IF(OR(WEEKDAY(DATE($K$12,$M$12,R$15),2)&gt;6,COUNTIF('休日情報(要更新)'!$A$5:$J$32,DATE($K$12,$M$12,R$15)) &gt;=1),"○",""),"")</f>
        <v/>
      </c>
      <c r="S16" s="170" t="str">
        <f>IF(S15&lt;&gt;"",IF(OR(WEEKDAY(DATE($K$12,$M$12,S$15),2)&gt;6,COUNTIF('休日情報(要更新)'!$A$5:$J$32,DATE($K$12,$M$12,S$15)) &gt;=1),"○",""),"")</f>
        <v>○</v>
      </c>
      <c r="T16" s="170" t="str">
        <f>IF(T15&lt;&gt;"",IF(OR(WEEKDAY(DATE($K$12,$M$12,T$15),2)&gt;6,COUNTIF('休日情報(要更新)'!$A$5:$J$32,DATE($K$12,$M$12,T$15)) &gt;=1),"○",""),"")</f>
        <v/>
      </c>
      <c r="U16" s="170" t="str">
        <f>IF(U15&lt;&gt;"",IF(OR(WEEKDAY(DATE($K$12,$M$12,U$15),2)&gt;6,COUNTIF('休日情報(要更新)'!$A$5:$J$32,DATE($K$12,$M$12,U$15)) &gt;=1),"○",""),"")</f>
        <v/>
      </c>
      <c r="V16" s="170" t="str">
        <f>IF(V15&lt;&gt;"",IF(OR(WEEKDAY(DATE($K$12,$M$12,V$15),2)&gt;6,COUNTIF('休日情報(要更新)'!$A$5:$J$32,DATE($K$12,$M$12,V$15)) &gt;=1),"○",""),"")</f>
        <v/>
      </c>
      <c r="W16" s="170" t="str">
        <f>IF(W15&lt;&gt;"",IF(OR(WEEKDAY(DATE($K$12,$M$12,W$15),2)&gt;6,COUNTIF('休日情報(要更新)'!$A$5:$J$32,DATE($K$12,$M$12,W$15)) &gt;=1),"○",""),"")</f>
        <v/>
      </c>
      <c r="X16" s="170" t="str">
        <f>IF(X15&lt;&gt;"",IF(OR(WEEKDAY(DATE($K$12,$M$12,X$15),2)&gt;6,COUNTIF('休日情報(要更新)'!$A$5:$J$32,DATE($K$12,$M$12,X$15)) &gt;=1),"○",""),"")</f>
        <v/>
      </c>
      <c r="Y16" s="170" t="str">
        <f>IF(Y15&lt;&gt;"",IF(OR(WEEKDAY(DATE($K$12,$M$12,Y$15),2)&gt;6,COUNTIF('休日情報(要更新)'!$A$5:$J$32,DATE($K$12,$M$12,Y$15)) &gt;=1),"○",""),"")</f>
        <v/>
      </c>
      <c r="Z16" s="170" t="str">
        <f>IF(Z15&lt;&gt;"",IF(OR(WEEKDAY(DATE($K$12,$M$12,Z$15),2)&gt;6,COUNTIF('休日情報(要更新)'!$A$5:$J$32,DATE($K$12,$M$12,Z$15)) &gt;=1),"○",""),"")</f>
        <v>○</v>
      </c>
      <c r="AA16" s="170" t="str">
        <f>IF(AA15&lt;&gt;"",IF(OR(WEEKDAY(DATE($K$12,$M$12,AA$15),2)&gt;6,COUNTIF('休日情報(要更新)'!$A$5:$J$32,DATE($K$12,$M$12,AA$15)) &gt;=1),"○",""),"")</f>
        <v/>
      </c>
      <c r="AB16" s="170" t="str">
        <f>IF(AB15&lt;&gt;"",IF(OR(WEEKDAY(DATE($K$12,$M$12,AB$15),2)&gt;6,COUNTIF('休日情報(要更新)'!$A$5:$J$32,DATE($K$12,$M$12,AB$15)) &gt;=1),"○",""),"")</f>
        <v/>
      </c>
      <c r="AC16" s="170" t="str">
        <f>IF(AC15&lt;&gt;"",IF(OR(WEEKDAY(DATE($K$12,$M$12,AC$15),2)&gt;6,COUNTIF('休日情報(要更新)'!$A$5:$J$32,DATE($K$12,$M$12,AC$15)) &gt;=1),"○",""),"")</f>
        <v/>
      </c>
      <c r="AD16" s="170" t="str">
        <f>IF(AD15&lt;&gt;"",IF(OR(WEEKDAY(DATE($K$12,$M$12,AD$15),2)&gt;6,COUNTIF('休日情報(要更新)'!$A$5:$J$32,DATE($K$12,$M$12,AD$15)) &gt;=1),"○",""),"")</f>
        <v>○</v>
      </c>
      <c r="AE16" s="170" t="str">
        <f>IF(AE15&lt;&gt;"",IF(OR(WEEKDAY(DATE($K$12,$M$12,AE$15),2)&gt;6,COUNTIF('休日情報(要更新)'!$A$5:$J$32,DATE($K$12,$M$12,AE$15)) &gt;=1),"○",""),"")</f>
        <v/>
      </c>
      <c r="AF16" s="170" t="str">
        <f>IF(AF15&lt;&gt;"",IF(OR(WEEKDAY(DATE($K$12,$M$12,AF$15),2)&gt;6,COUNTIF('休日情報(要更新)'!$A$5:$J$32,DATE($K$12,$M$12,AF$15)) &gt;=1),"○",""),"")</f>
        <v/>
      </c>
      <c r="AG16" s="170" t="str">
        <f>IF(AG15&lt;&gt;"",IF(OR(WEEKDAY(DATE($K$12,$M$12,AG$15),2)&gt;6,COUNTIF('休日情報(要更新)'!$A$5:$J$32,DATE($K$12,$M$12,AG$15)) &gt;=1),"○",""),"")</f>
        <v>○</v>
      </c>
      <c r="AH16" s="170" t="str">
        <f>IF(AH15&lt;&gt;"",IF(OR(WEEKDAY(DATE($K$12,$M$12,AH$15),2)&gt;6,COUNTIF('休日情報(要更新)'!$A$5:$J$32,DATE($K$12,$M$12,AH$15)) &gt;=1),"○",""),"")</f>
        <v/>
      </c>
      <c r="AI16" s="170" t="str">
        <f>IF(AI15&lt;&gt;"",IF(OR(WEEKDAY(DATE($K$12,$M$12,AI$15),2)&gt;6,COUNTIF('休日情報(要更新)'!$A$5:$J$32,DATE($K$12,$M$12,AI$15)) &gt;=1),"○",""),"")</f>
        <v/>
      </c>
      <c r="AJ16" s="170" t="str">
        <f>IF(AJ15&lt;&gt;"",IF(OR(WEEKDAY(DATE($K$12,$M$12,AJ$15),2)&gt;6,COUNTIF('休日情報(要更新)'!$A$5:$J$32,DATE($K$12,$M$12,AJ$15)) &gt;=1),"○",""),"")</f>
        <v/>
      </c>
      <c r="AK16" s="170" t="str">
        <f>IF(AK15&lt;&gt;"",IF(OR(WEEKDAY(DATE($K$12,$M$12,AK$15),2)&gt;6,COUNTIF('休日情報(要更新)'!$A$5:$J$32,DATE($K$12,$M$12,AK$15)) &gt;=1),"○",""),"")</f>
        <v/>
      </c>
      <c r="AL16" s="170" t="str">
        <f>IF(AL15&lt;&gt;"",IF(OR(WEEKDAY(DATE($K$12,$M$12,AL$15),2)&gt;6,COUNTIF('休日情報(要更新)'!$A$5:$J$32,DATE($K$12,$M$12,AL$15)) &gt;=1),"○",""),"")</f>
        <v/>
      </c>
      <c r="AM16" s="170" t="str">
        <f>IF(AM15&lt;&gt;"",IF(OR(WEEKDAY(DATE($K$12,$M$12,AM$15),2)&gt;6,COUNTIF('休日情報(要更新)'!$A$5:$J$32,DATE($K$12,$M$12,AM$15)) &gt;=1),"○",""),"")</f>
        <v/>
      </c>
      <c r="AN16" s="170" t="str">
        <f>IF(AN15&lt;&gt;"",IF(OR(WEEKDAY(DATE($K$12,$M$12,AN$15),2)&gt;6,COUNTIF('休日情報(要更新)'!$A$5:$J$32,DATE($K$12,$M$12,AN$15)) &gt;=1),"○",""),"")</f>
        <v>○</v>
      </c>
      <c r="AO16" s="170" t="str">
        <f>IF(AO15&lt;&gt;"",IF(OR(WEEKDAY(DATE($K$12,$M$12,AO$15),2)&gt;6,COUNTIF('休日情報(要更新)'!$A$5:$J$32,DATE($K$12,$M$12,AO$15)) &gt;=1),"○",""),"")</f>
        <v/>
      </c>
    </row>
    <row r="17" spans="1:10" ht="20.100000000000001" customHeight="1">
      <c r="A17" s="1207"/>
      <c r="B17" s="164">
        <v>3</v>
      </c>
      <c r="C17" s="165">
        <f>HLOOKUP($B17,$K$14:$AO$15,2,FALSE)</f>
        <v>15</v>
      </c>
      <c r="D17" s="166" t="str">
        <f t="shared" si="3"/>
        <v>平日</v>
      </c>
      <c r="E17" s="167"/>
      <c r="F17" s="168" t="str">
        <f t="shared" si="4"/>
        <v>○</v>
      </c>
      <c r="G17" s="167"/>
      <c r="H17" s="168" t="str">
        <f t="shared" si="5"/>
        <v>○</v>
      </c>
    </row>
    <row r="18" spans="1:10" ht="20.100000000000001" customHeight="1">
      <c r="A18" s="1207"/>
      <c r="B18" s="164">
        <v>4</v>
      </c>
      <c r="C18" s="165">
        <f>HLOOKUP($B18,$K$14:$AO$15,2,FALSE)</f>
        <v>22</v>
      </c>
      <c r="D18" s="166" t="str">
        <f t="shared" si="3"/>
        <v>平日</v>
      </c>
      <c r="E18" s="167"/>
      <c r="F18" s="168" t="str">
        <f t="shared" si="4"/>
        <v>○</v>
      </c>
      <c r="G18" s="167"/>
      <c r="H18" s="168" t="str">
        <f t="shared" si="5"/>
        <v>○</v>
      </c>
    </row>
    <row r="19" spans="1:10" ht="20.100000000000001" customHeight="1">
      <c r="A19" s="1208"/>
      <c r="B19" s="171">
        <v>5</v>
      </c>
      <c r="C19" s="172">
        <f>IF(ISERROR(HLOOKUP($B19,$K$14:$AO$15,2,FALSE)),"無",HLOOKUP($B19,$K$14:$AO$15,2,FALSE))</f>
        <v>29</v>
      </c>
      <c r="D19" s="173" t="str">
        <f t="shared" si="3"/>
        <v>平日</v>
      </c>
      <c r="E19" s="174"/>
      <c r="F19" s="175" t="str">
        <f t="shared" si="4"/>
        <v>○</v>
      </c>
      <c r="G19" s="174"/>
      <c r="H19" s="175" t="str">
        <f t="shared" si="5"/>
        <v>○</v>
      </c>
    </row>
    <row r="20" spans="1:10" ht="20.100000000000001" customHeight="1">
      <c r="A20" s="1530" t="s">
        <v>15</v>
      </c>
      <c r="B20" s="1531"/>
      <c r="C20" s="1531"/>
      <c r="D20" s="176">
        <f>COUNTIF(D15:D19,"平日")+COUNTIF(D15:D19,"特例")</f>
        <v>5</v>
      </c>
      <c r="E20" s="177"/>
      <c r="F20" s="176">
        <f>COUNTIF(F15:F19,"○")</f>
        <v>5</v>
      </c>
      <c r="G20" s="177"/>
      <c r="H20" s="176">
        <f>COUNTIF(H15:H19,"○")</f>
        <v>5</v>
      </c>
    </row>
    <row r="21" spans="1:10" ht="20.100000000000001" customHeight="1">
      <c r="A21" s="149"/>
      <c r="B21" s="180"/>
      <c r="C21" s="180"/>
      <c r="D21" s="179"/>
      <c r="E21" s="144"/>
      <c r="F21" s="179"/>
      <c r="G21" s="144"/>
      <c r="H21" s="179"/>
    </row>
    <row r="22" spans="1:10" ht="20.100000000000001" customHeight="1" thickBot="1">
      <c r="A22" s="149"/>
      <c r="B22" s="181" t="s">
        <v>463</v>
      </c>
      <c r="C22" s="181" t="str">
        <f>IF(F20=D20,"全て",IF(F20&gt;=3,"3日以上",IF(F20=2,"2日",IF(F20=1,"1日","×"))))</f>
        <v>全て</v>
      </c>
      <c r="D22" s="182" t="s">
        <v>657</v>
      </c>
      <c r="E22" s="181" t="s">
        <v>464</v>
      </c>
      <c r="F22" s="181" t="str">
        <f>IF(D20=H20,"全て",IF(H20&gt;=3,"3日以上",IF(H20=2,"2日",IF(H20=1,"1日","×"))))</f>
        <v>全て</v>
      </c>
      <c r="G22" s="183" t="str">
        <f>IF(J22,"(変更無)","(変更有)")</f>
        <v>(変更無)</v>
      </c>
      <c r="H22" s="152"/>
      <c r="J22" s="137" t="b">
        <f>F22=C22</f>
        <v>1</v>
      </c>
    </row>
    <row r="23" spans="1:10" ht="20.100000000000001" customHeight="1" thickTop="1">
      <c r="A23" s="149"/>
      <c r="B23" s="144"/>
      <c r="C23" s="144"/>
      <c r="D23" s="144"/>
      <c r="E23" s="144"/>
      <c r="F23" s="144"/>
      <c r="G23" s="151"/>
      <c r="H23" s="152"/>
    </row>
    <row r="24" spans="1:10" ht="20.100000000000001" customHeight="1">
      <c r="A24" s="144" t="s">
        <v>658</v>
      </c>
      <c r="B24" s="144"/>
      <c r="C24" s="144"/>
      <c r="D24" s="144"/>
      <c r="E24" s="144"/>
      <c r="F24" s="144"/>
      <c r="G24" s="151"/>
      <c r="H24" s="152"/>
    </row>
    <row r="25" spans="1:10" ht="20.100000000000001" customHeight="1">
      <c r="A25" s="1845" t="s">
        <v>632</v>
      </c>
      <c r="B25" s="1845"/>
      <c r="C25" s="1845"/>
      <c r="D25" s="1845"/>
      <c r="E25" s="1845"/>
      <c r="F25" s="1845"/>
      <c r="G25" s="1845"/>
      <c r="H25" s="1845"/>
    </row>
    <row r="26" spans="1:10" ht="20.100000000000001" customHeight="1">
      <c r="A26" s="1845"/>
      <c r="B26" s="1845"/>
      <c r="C26" s="1845"/>
      <c r="D26" s="1845"/>
      <c r="E26" s="1845"/>
      <c r="F26" s="1845"/>
      <c r="G26" s="1845"/>
      <c r="H26" s="1845"/>
    </row>
    <row r="27" spans="1:10" ht="20.100000000000001" customHeight="1">
      <c r="A27" s="1429" t="s">
        <v>1580</v>
      </c>
      <c r="B27" s="1429"/>
      <c r="C27" s="1429"/>
      <c r="D27" s="1429"/>
      <c r="E27" s="1429"/>
      <c r="F27" s="1429"/>
      <c r="G27" s="1429"/>
      <c r="H27" s="1429"/>
    </row>
    <row r="28" spans="1:10" ht="35.25" customHeight="1">
      <c r="A28" s="1429"/>
      <c r="B28" s="1429"/>
      <c r="C28" s="1429"/>
      <c r="D28" s="1429"/>
      <c r="E28" s="1429"/>
      <c r="F28" s="1429"/>
      <c r="G28" s="1429"/>
      <c r="H28" s="1429"/>
    </row>
    <row r="29" spans="1:10" ht="19.5" customHeight="1">
      <c r="A29" s="184" t="s">
        <v>659</v>
      </c>
      <c r="B29" s="184"/>
      <c r="C29" s="184"/>
      <c r="D29" s="184"/>
      <c r="E29" s="184"/>
      <c r="F29" s="184"/>
      <c r="G29" s="184"/>
      <c r="H29" s="184"/>
    </row>
    <row r="30" spans="1:10" ht="20.100000000000001" hidden="1" customHeight="1">
      <c r="A30" s="1845" t="s">
        <v>660</v>
      </c>
      <c r="B30" s="1845"/>
      <c r="C30" s="1845"/>
      <c r="D30" s="1845"/>
      <c r="E30" s="1845"/>
      <c r="F30" s="1845"/>
      <c r="G30" s="1845"/>
      <c r="H30" s="1845"/>
    </row>
  </sheetData>
  <sheetProtection algorithmName="SHA-512" hashValue="P12d8HSxbThobvWn9AB5M/XCfvwG9IEv9EQU7ckfURUErpyKKJINzwLB4m1+XMBKLiu9O2Y+bgeJ7SBT2lm3eQ==" saltValue="ps/b4LShyVzPu8X52ynT0A==" spinCount="100000" sheet="1" objects="1" scenarios="1"/>
  <mergeCells count="6">
    <mergeCell ref="A30:H30"/>
    <mergeCell ref="F1:H1"/>
    <mergeCell ref="A10:C10"/>
    <mergeCell ref="A20:C20"/>
    <mergeCell ref="A25:H26"/>
    <mergeCell ref="A27:H28"/>
  </mergeCells>
  <phoneticPr fontId="1"/>
  <conditionalFormatting sqref="E5:E9">
    <cfRule type="expression" dxfId="89" priority="8">
      <formula>$D5&lt;&gt;"平日"</formula>
    </cfRule>
  </conditionalFormatting>
  <conditionalFormatting sqref="E15:E19">
    <cfRule type="expression" dxfId="88" priority="7">
      <formula>$D15&lt;&gt;"平日"</formula>
    </cfRule>
  </conditionalFormatting>
  <conditionalFormatting sqref="F5:F9 F15:F19 H15:H19">
    <cfRule type="containsText" dxfId="87" priority="1" operator="containsText" text="エラー">
      <formula>NOT(ISERROR(SEARCH("エラー",F5)))</formula>
    </cfRule>
  </conditionalFormatting>
  <conditionalFormatting sqref="G15:G19">
    <cfRule type="expression" dxfId="86" priority="2">
      <formula>$D15&lt;&gt;"平日"</formula>
    </cfRule>
  </conditionalFormatting>
  <conditionalFormatting sqref="K5:AO5">
    <cfRule type="expression" dxfId="85" priority="5">
      <formula>K$5="○"</formula>
    </cfRule>
  </conditionalFormatting>
  <conditionalFormatting sqref="K7:AO7">
    <cfRule type="expression" dxfId="84" priority="6">
      <formula>K$5="○"</formula>
    </cfRule>
  </conditionalFormatting>
  <conditionalFormatting sqref="K13:AO13">
    <cfRule type="expression" dxfId="83" priority="3">
      <formula>K$5="○"</formula>
    </cfRule>
  </conditionalFormatting>
  <conditionalFormatting sqref="K15:AO15">
    <cfRule type="expression" dxfId="82" priority="4">
      <formula>K$5="○"</formula>
    </cfRule>
  </conditionalFormatting>
  <dataValidations count="2">
    <dataValidation type="whole" operator="greaterThanOrEqual" allowBlank="1" showInputMessage="1" showErrorMessage="1" sqref="E5:E9 E15:E19 G15:G19" xr:uid="{00000000-0002-0000-0600-000000000000}">
      <formula1>0</formula1>
    </dataValidation>
    <dataValidation type="list" showInputMessage="1" showErrorMessage="1" sqref="A5:A9 A15:A19" xr:uid="{00000000-0002-0000-0600-000001000000}">
      <formula1>$K$2:$K$3</formula1>
    </dataValidation>
  </dataValidations>
  <printOptions horizontalCentered="1"/>
  <pageMargins left="0.70866141732283472" right="0.70866141732283472" top="0.74803149606299213" bottom="0.74803149606299213" header="0.31496062992125984" footer="0.31496062992125984"/>
  <pageSetup paperSize="9" scale="75"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B0F0"/>
  </sheetPr>
  <dimension ref="A1:AM55"/>
  <sheetViews>
    <sheetView view="pageBreakPreview" zoomScale="90" zoomScaleNormal="100" zoomScaleSheetLayoutView="90" workbookViewId="0">
      <selection activeCell="L7" sqref="L7:M7"/>
    </sheetView>
  </sheetViews>
  <sheetFormatPr defaultColWidth="9" defaultRowHeight="13.5" outlineLevelCol="1"/>
  <cols>
    <col min="1" max="24" width="3.375" style="187" customWidth="1"/>
    <col min="25" max="25" width="5.875" style="187" customWidth="1"/>
    <col min="26" max="27" width="3.375" style="187" customWidth="1"/>
    <col min="28" max="28" width="47.5" style="187" customWidth="1"/>
    <col min="29" max="29" width="11.625" style="187" hidden="1" customWidth="1" outlineLevel="1"/>
    <col min="30" max="38" width="9" style="187" hidden="1" customWidth="1" outlineLevel="1"/>
    <col min="39" max="39" width="9" style="187" collapsed="1"/>
    <col min="40" max="16384" width="9" style="187"/>
  </cols>
  <sheetData>
    <row r="1" spans="1:38" ht="15" customHeight="1">
      <c r="A1" s="149" t="s">
        <v>1062</v>
      </c>
      <c r="B1" s="149"/>
      <c r="C1" s="149"/>
      <c r="D1" s="144"/>
      <c r="E1" s="144"/>
      <c r="F1" s="144"/>
      <c r="G1" s="144"/>
      <c r="H1" s="144"/>
      <c r="I1" s="144"/>
      <c r="J1" s="144"/>
      <c r="K1" s="144"/>
      <c r="L1" s="144"/>
      <c r="M1" s="144"/>
      <c r="N1" s="144"/>
      <c r="O1" s="144"/>
      <c r="P1" s="144"/>
      <c r="Q1" s="144"/>
      <c r="R1" s="2166" t="str">
        <f>AC2&amp;"別紙3"&amp;AC3</f>
        <v>加-25_4月申-別紙3-認_Ver.4.02</v>
      </c>
      <c r="S1" s="2166"/>
      <c r="T1" s="2166"/>
      <c r="U1" s="2166"/>
      <c r="V1" s="2166"/>
      <c r="W1" s="2166"/>
      <c r="X1" s="2166"/>
      <c r="Y1" s="2166"/>
      <c r="Z1" s="2166"/>
      <c r="AA1" s="1147"/>
      <c r="AC1" s="264" t="s">
        <v>1163</v>
      </c>
      <c r="AD1" s="188" t="s">
        <v>661</v>
      </c>
      <c r="AE1" s="188" t="s">
        <v>662</v>
      </c>
      <c r="AF1" s="188" t="s">
        <v>87</v>
      </c>
      <c r="AG1" s="188" t="s">
        <v>663</v>
      </c>
      <c r="AH1" s="188" t="s">
        <v>664</v>
      </c>
      <c r="AI1" s="188" t="s">
        <v>665</v>
      </c>
      <c r="AJ1" s="188" t="s">
        <v>356</v>
      </c>
      <c r="AK1" s="188" t="s">
        <v>666</v>
      </c>
      <c r="AL1" s="188" t="s">
        <v>1336</v>
      </c>
    </row>
    <row r="2" spans="1:38" ht="15" customHeight="1">
      <c r="A2" s="2170" t="s">
        <v>1338</v>
      </c>
      <c r="B2" s="2170"/>
      <c r="C2" s="2170"/>
      <c r="D2" s="2170"/>
      <c r="E2" s="2170"/>
      <c r="F2" s="2170"/>
      <c r="G2" s="2170"/>
      <c r="H2" s="2170"/>
      <c r="I2" s="2170"/>
      <c r="J2" s="2170"/>
      <c r="K2" s="2170"/>
      <c r="L2" s="2170"/>
      <c r="M2" s="2170"/>
      <c r="N2" s="2170"/>
      <c r="O2" s="2170"/>
      <c r="P2" s="2170"/>
      <c r="Q2" s="2170"/>
      <c r="R2" s="2170"/>
      <c r="S2" s="2170"/>
      <c r="T2" s="2170"/>
      <c r="U2" s="2170"/>
      <c r="V2" s="2170"/>
      <c r="W2" s="2170"/>
      <c r="X2" s="2170"/>
      <c r="Y2" s="2170"/>
      <c r="Z2" s="2170"/>
      <c r="AA2" s="1148"/>
      <c r="AC2" s="264" t="str">
        <f>【様式１】総括表・個票!$AJ$2</f>
        <v>加-25_4月申-</v>
      </c>
      <c r="AD2" s="188"/>
      <c r="AE2" s="188"/>
      <c r="AF2" s="188"/>
      <c r="AG2" s="188"/>
      <c r="AH2" s="188"/>
      <c r="AI2" s="188"/>
      <c r="AJ2" s="188"/>
      <c r="AK2" s="188"/>
      <c r="AL2" s="188"/>
    </row>
    <row r="3" spans="1:38" ht="15" customHeight="1" thickBot="1">
      <c r="A3" s="2171"/>
      <c r="B3" s="2171"/>
      <c r="C3" s="2171"/>
      <c r="D3" s="2171"/>
      <c r="E3" s="2171"/>
      <c r="F3" s="2171"/>
      <c r="G3" s="2171"/>
      <c r="H3" s="2171"/>
      <c r="I3" s="2171"/>
      <c r="J3" s="2171"/>
      <c r="K3" s="2171"/>
      <c r="L3" s="2171"/>
      <c r="M3" s="2171"/>
      <c r="N3" s="2171"/>
      <c r="O3" s="2171"/>
      <c r="P3" s="2171"/>
      <c r="Q3" s="2171"/>
      <c r="R3" s="2171"/>
      <c r="S3" s="2171"/>
      <c r="T3" s="2171"/>
      <c r="U3" s="2171"/>
      <c r="V3" s="2171"/>
      <c r="W3" s="2171"/>
      <c r="X3" s="2171"/>
      <c r="Y3" s="2171"/>
      <c r="Z3" s="2171"/>
      <c r="AA3" s="1148"/>
      <c r="AC3" s="264" t="str">
        <f>【様式１】総括表・個票!$AJ$3</f>
        <v>-認_Ver.4.02</v>
      </c>
      <c r="AD3" s="188">
        <v>0</v>
      </c>
      <c r="AE3" s="188">
        <v>0</v>
      </c>
      <c r="AF3" s="188" t="s">
        <v>667</v>
      </c>
      <c r="AG3" s="188" t="s">
        <v>668</v>
      </c>
      <c r="AH3" s="188" t="s">
        <v>669</v>
      </c>
      <c r="AI3" s="188" t="s">
        <v>670</v>
      </c>
      <c r="AJ3" s="188" t="s">
        <v>91</v>
      </c>
      <c r="AK3" s="188" t="s">
        <v>671</v>
      </c>
      <c r="AL3" s="188">
        <f>【様式１】総括表・個票!F245</f>
        <v>0</v>
      </c>
    </row>
    <row r="4" spans="1:38" ht="15" customHeight="1">
      <c r="A4" s="2172" t="s">
        <v>672</v>
      </c>
      <c r="B4" s="2173"/>
      <c r="C4" s="2173"/>
      <c r="D4" s="2173"/>
      <c r="E4" s="2173"/>
      <c r="F4" s="2173"/>
      <c r="G4" s="2173"/>
      <c r="H4" s="2173"/>
      <c r="I4" s="2173"/>
      <c r="J4" s="2173"/>
      <c r="K4" s="2173"/>
      <c r="L4" s="2173"/>
      <c r="M4" s="2173"/>
      <c r="N4" s="2173"/>
      <c r="O4" s="2173"/>
      <c r="P4" s="2173"/>
      <c r="Q4" s="2173"/>
      <c r="R4" s="2173"/>
      <c r="S4" s="2173"/>
      <c r="T4" s="2173"/>
      <c r="U4" s="2173"/>
      <c r="V4" s="2173"/>
      <c r="W4" s="2173"/>
      <c r="X4" s="2173"/>
      <c r="Y4" s="2173"/>
      <c r="Z4" s="2173"/>
      <c r="AA4" s="2174"/>
      <c r="AC4" s="1021" t="s">
        <v>94</v>
      </c>
      <c r="AD4" s="189">
        <v>1</v>
      </c>
      <c r="AE4" s="188">
        <v>15</v>
      </c>
      <c r="AF4" s="188" t="s">
        <v>673</v>
      </c>
      <c r="AG4" s="188" t="s">
        <v>674</v>
      </c>
      <c r="AH4" s="188" t="s">
        <v>675</v>
      </c>
      <c r="AI4" s="188" t="s">
        <v>676</v>
      </c>
      <c r="AJ4" s="188" t="s">
        <v>8</v>
      </c>
      <c r="AK4" s="188" t="s">
        <v>677</v>
      </c>
      <c r="AL4" s="188">
        <f>【様式１】総括表・個票!H245</f>
        <v>0</v>
      </c>
    </row>
    <row r="5" spans="1:38" ht="15" customHeight="1" thickBot="1">
      <c r="A5" s="2175" t="s">
        <v>252</v>
      </c>
      <c r="B5" s="2176"/>
      <c r="C5" s="2177"/>
      <c r="D5" s="2178" t="s">
        <v>103</v>
      </c>
      <c r="E5" s="2178"/>
      <c r="F5" s="2178"/>
      <c r="G5" s="2178"/>
      <c r="H5" s="2178"/>
      <c r="I5" s="2178"/>
      <c r="J5" s="2178"/>
      <c r="K5" s="2178"/>
      <c r="L5" s="2179" t="s">
        <v>679</v>
      </c>
      <c r="M5" s="2176"/>
      <c r="N5" s="2176"/>
      <c r="O5" s="2176"/>
      <c r="P5" s="2176"/>
      <c r="Q5" s="2176"/>
      <c r="R5" s="2176"/>
      <c r="S5" s="2176"/>
      <c r="T5" s="2176"/>
      <c r="U5" s="2176"/>
      <c r="V5" s="2176"/>
      <c r="W5" s="2176"/>
      <c r="X5" s="2176"/>
      <c r="Y5" s="2176"/>
      <c r="Z5" s="2180" t="s">
        <v>94</v>
      </c>
      <c r="AA5" s="2181"/>
      <c r="AC5" s="1022" t="e">
        <f>IF(AND(AC6,AC7,AC9,AC11,AC13,AC15,AC20,AC21,AC28),"○","×")</f>
        <v>#DIV/0!</v>
      </c>
      <c r="AD5" s="189">
        <v>2</v>
      </c>
      <c r="AE5" s="188">
        <v>30</v>
      </c>
      <c r="AG5" s="188" t="s">
        <v>680</v>
      </c>
      <c r="AI5" s="188" t="s">
        <v>681</v>
      </c>
      <c r="AL5" s="188">
        <f>【様式１】総括表・個票!J245</f>
        <v>0</v>
      </c>
    </row>
    <row r="6" spans="1:38" ht="15" customHeight="1">
      <c r="A6" s="2182">
        <v>1</v>
      </c>
      <c r="B6" s="2183"/>
      <c r="C6" s="2184"/>
      <c r="D6" s="2182" t="s">
        <v>682</v>
      </c>
      <c r="E6" s="2183"/>
      <c r="F6" s="2183"/>
      <c r="G6" s="2183"/>
      <c r="H6" s="2183"/>
      <c r="I6" s="2183"/>
      <c r="J6" s="2183"/>
      <c r="K6" s="2184"/>
      <c r="L6" s="2182" t="s">
        <v>683</v>
      </c>
      <c r="M6" s="2183"/>
      <c r="N6" s="2183"/>
      <c r="O6" s="2183"/>
      <c r="P6" s="2183"/>
      <c r="Q6" s="2183"/>
      <c r="R6" s="2183"/>
      <c r="S6" s="2183"/>
      <c r="T6" s="2183"/>
      <c r="U6" s="2183"/>
      <c r="V6" s="2183"/>
      <c r="W6" s="2183"/>
      <c r="X6" s="2183"/>
      <c r="Y6" s="2183"/>
      <c r="Z6" s="2185" t="s">
        <v>69</v>
      </c>
      <c r="AA6" s="2186"/>
      <c r="AC6" s="1023" t="b">
        <f>Z6="○"</f>
        <v>1</v>
      </c>
      <c r="AD6" s="189">
        <v>3</v>
      </c>
      <c r="AE6" s="188">
        <v>45</v>
      </c>
      <c r="AG6" s="188" t="s">
        <v>684</v>
      </c>
      <c r="AL6" s="188">
        <f>【様式１】総括表・個票!L245</f>
        <v>0</v>
      </c>
    </row>
    <row r="7" spans="1:38" ht="15" customHeight="1">
      <c r="A7" s="2187">
        <v>2</v>
      </c>
      <c r="B7" s="2188"/>
      <c r="C7" s="2189"/>
      <c r="D7" s="2190" t="s">
        <v>685</v>
      </c>
      <c r="E7" s="2191"/>
      <c r="F7" s="2191"/>
      <c r="G7" s="2191"/>
      <c r="H7" s="2192" t="s">
        <v>686</v>
      </c>
      <c r="I7" s="2188"/>
      <c r="J7" s="2188"/>
      <c r="K7" s="2189"/>
      <c r="L7" s="2193"/>
      <c r="M7" s="2194"/>
      <c r="N7" s="1024" t="s">
        <v>661</v>
      </c>
      <c r="O7" s="2194"/>
      <c r="P7" s="2194"/>
      <c r="Q7" s="1024" t="s">
        <v>662</v>
      </c>
      <c r="R7" s="2195" t="s">
        <v>687</v>
      </c>
      <c r="S7" s="2195"/>
      <c r="T7" s="2194"/>
      <c r="U7" s="2194"/>
      <c r="V7" s="1024" t="s">
        <v>661</v>
      </c>
      <c r="W7" s="2194"/>
      <c r="X7" s="2194"/>
      <c r="Y7" s="1025" t="s">
        <v>662</v>
      </c>
      <c r="Z7" s="2196" t="str">
        <f>IF(AND(L7&lt;&gt;"",O7&lt;&gt;"",T7&lt;&gt;"",W7&lt;&gt;"",L8&lt;&gt;"",O8&lt;&gt;"",T8&lt;&gt;"",W8&lt;&gt;""),"○","×")</f>
        <v>×</v>
      </c>
      <c r="AA7" s="2197"/>
      <c r="AC7" s="2169" t="b">
        <f>Z7="○"</f>
        <v>0</v>
      </c>
      <c r="AD7" s="189">
        <v>4</v>
      </c>
      <c r="AL7" s="188">
        <f>【様式１】総括表・個票!N245</f>
        <v>0</v>
      </c>
    </row>
    <row r="8" spans="1:38" ht="15" customHeight="1">
      <c r="A8" s="2182"/>
      <c r="B8" s="2183"/>
      <c r="C8" s="2184"/>
      <c r="D8" s="2190"/>
      <c r="E8" s="2191"/>
      <c r="F8" s="2191"/>
      <c r="G8" s="2191"/>
      <c r="H8" s="2200" t="s">
        <v>688</v>
      </c>
      <c r="I8" s="2201"/>
      <c r="J8" s="2201"/>
      <c r="K8" s="2202"/>
      <c r="L8" s="2203"/>
      <c r="M8" s="2204"/>
      <c r="N8" s="1026" t="s">
        <v>661</v>
      </c>
      <c r="O8" s="2204"/>
      <c r="P8" s="2204"/>
      <c r="Q8" s="1026" t="s">
        <v>662</v>
      </c>
      <c r="R8" s="2183" t="s">
        <v>687</v>
      </c>
      <c r="S8" s="2183"/>
      <c r="T8" s="2204"/>
      <c r="U8" s="2204"/>
      <c r="V8" s="1026" t="s">
        <v>661</v>
      </c>
      <c r="W8" s="2204"/>
      <c r="X8" s="2204"/>
      <c r="Y8" s="1027" t="s">
        <v>662</v>
      </c>
      <c r="Z8" s="2198"/>
      <c r="AA8" s="2199"/>
      <c r="AC8" s="2169"/>
      <c r="AD8" s="189">
        <v>5</v>
      </c>
      <c r="AL8" s="188">
        <f>【様式１】総括表・個票!P245</f>
        <v>0</v>
      </c>
    </row>
    <row r="9" spans="1:38" ht="15" customHeight="1">
      <c r="A9" s="2205">
        <v>3</v>
      </c>
      <c r="B9" s="2206"/>
      <c r="C9" s="2207"/>
      <c r="D9" s="2205" t="s">
        <v>689</v>
      </c>
      <c r="E9" s="2206"/>
      <c r="F9" s="2206"/>
      <c r="G9" s="2206"/>
      <c r="H9" s="2206"/>
      <c r="I9" s="2206"/>
      <c r="J9" s="2206"/>
      <c r="K9" s="2207"/>
      <c r="L9" s="2208" t="s">
        <v>1339</v>
      </c>
      <c r="M9" s="2209"/>
      <c r="N9" s="2209"/>
      <c r="O9" s="2209"/>
      <c r="P9" s="2209"/>
      <c r="Q9" s="2209"/>
      <c r="R9" s="2209"/>
      <c r="S9" s="2209">
        <f>【様式１】総括表・個票!AD92</f>
        <v>0</v>
      </c>
      <c r="T9" s="2209"/>
      <c r="U9" s="2209"/>
      <c r="V9" s="2209"/>
      <c r="W9" s="2209"/>
      <c r="X9" s="2209"/>
      <c r="Y9" s="1025" t="s">
        <v>344</v>
      </c>
      <c r="Z9" s="2196" t="s">
        <v>69</v>
      </c>
      <c r="AA9" s="2197"/>
      <c r="AC9" s="2169" t="b">
        <f>Z9="○"</f>
        <v>1</v>
      </c>
      <c r="AD9" s="189">
        <v>6</v>
      </c>
      <c r="AL9" s="188">
        <f>【様式１】総括表・個票!R245</f>
        <v>0</v>
      </c>
    </row>
    <row r="10" spans="1:38" ht="15" customHeight="1">
      <c r="A10" s="2187">
        <v>4</v>
      </c>
      <c r="B10" s="2188"/>
      <c r="C10" s="2189"/>
      <c r="D10" s="2210" t="s">
        <v>1340</v>
      </c>
      <c r="E10" s="2211"/>
      <c r="F10" s="2211"/>
      <c r="G10" s="2211"/>
      <c r="H10" s="2192" t="s">
        <v>690</v>
      </c>
      <c r="I10" s="2188"/>
      <c r="J10" s="2188"/>
      <c r="K10" s="2189"/>
      <c r="L10" s="2193"/>
      <c r="M10" s="2194"/>
      <c r="N10" s="2194"/>
      <c r="O10" s="2194"/>
      <c r="P10" s="2194"/>
      <c r="Q10" s="2194"/>
      <c r="R10" s="2194"/>
      <c r="S10" s="2194"/>
      <c r="T10" s="2194"/>
      <c r="U10" s="2194"/>
      <c r="V10" s="2194"/>
      <c r="W10" s="2194"/>
      <c r="X10" s="2194"/>
      <c r="Y10" s="1025"/>
      <c r="Z10" s="2196" t="str">
        <f>IF(AND(L10="実施している",L11&lt;&gt;""),"○","×")</f>
        <v>×</v>
      </c>
      <c r="AA10" s="2197"/>
      <c r="AC10" s="2169"/>
      <c r="AD10" s="189">
        <v>7</v>
      </c>
      <c r="AL10" s="188">
        <f>【様式１】総括表・個票!T245</f>
        <v>0</v>
      </c>
    </row>
    <row r="11" spans="1:38" ht="15" customHeight="1">
      <c r="A11" s="2182"/>
      <c r="B11" s="2183"/>
      <c r="C11" s="2184"/>
      <c r="D11" s="2210"/>
      <c r="E11" s="2211"/>
      <c r="F11" s="2211"/>
      <c r="G11" s="2211"/>
      <c r="H11" s="2200" t="s">
        <v>691</v>
      </c>
      <c r="I11" s="2201"/>
      <c r="J11" s="2201"/>
      <c r="K11" s="2202"/>
      <c r="L11" s="2212"/>
      <c r="M11" s="2213"/>
      <c r="N11" s="2213"/>
      <c r="O11" s="2213"/>
      <c r="P11" s="2213"/>
      <c r="Q11" s="2213"/>
      <c r="R11" s="2213"/>
      <c r="S11" s="2213"/>
      <c r="T11" s="2213"/>
      <c r="U11" s="2213"/>
      <c r="V11" s="2213"/>
      <c r="W11" s="2213"/>
      <c r="X11" s="2213"/>
      <c r="Y11" s="1027" t="s">
        <v>692</v>
      </c>
      <c r="Z11" s="2198"/>
      <c r="AA11" s="2199"/>
      <c r="AC11" s="2169" t="b">
        <f>Z10="○"</f>
        <v>0</v>
      </c>
      <c r="AD11" s="189">
        <v>8</v>
      </c>
      <c r="AL11" s="188">
        <f>【様式１】総括表・個票!V245</f>
        <v>0</v>
      </c>
    </row>
    <row r="12" spans="1:38" ht="15" customHeight="1">
      <c r="A12" s="2187">
        <v>5</v>
      </c>
      <c r="B12" s="2188"/>
      <c r="C12" s="2189"/>
      <c r="D12" s="2190" t="s">
        <v>691</v>
      </c>
      <c r="E12" s="2191"/>
      <c r="F12" s="2191"/>
      <c r="G12" s="2191"/>
      <c r="H12" s="2192" t="s">
        <v>693</v>
      </c>
      <c r="I12" s="2188"/>
      <c r="J12" s="2188"/>
      <c r="K12" s="2189"/>
      <c r="L12" s="2193"/>
      <c r="M12" s="2194"/>
      <c r="N12" s="2194"/>
      <c r="O12" s="2194"/>
      <c r="P12" s="2194"/>
      <c r="Q12" s="2194"/>
      <c r="R12" s="2194"/>
      <c r="S12" s="2194"/>
      <c r="T12" s="2194"/>
      <c r="U12" s="2194"/>
      <c r="V12" s="2194"/>
      <c r="W12" s="2194"/>
      <c r="X12" s="2194"/>
      <c r="Y12" s="1025"/>
      <c r="Z12" s="2196" t="str">
        <f>IF(AND(L12&lt;&gt;"",L13&lt;&gt;""),"○","×")</f>
        <v>×</v>
      </c>
      <c r="AA12" s="2197"/>
      <c r="AC12" s="2169"/>
      <c r="AD12" s="189">
        <v>9</v>
      </c>
      <c r="AL12" s="188">
        <f>【様式１】総括表・個票!X245</f>
        <v>0</v>
      </c>
    </row>
    <row r="13" spans="1:38" ht="15" customHeight="1">
      <c r="A13" s="2182"/>
      <c r="B13" s="2183"/>
      <c r="C13" s="2184"/>
      <c r="D13" s="2190"/>
      <c r="E13" s="2191"/>
      <c r="F13" s="2191"/>
      <c r="G13" s="2191"/>
      <c r="H13" s="2200" t="s">
        <v>694</v>
      </c>
      <c r="I13" s="2201"/>
      <c r="J13" s="2201"/>
      <c r="K13" s="2202"/>
      <c r="L13" s="2212"/>
      <c r="M13" s="2213"/>
      <c r="N13" s="2213"/>
      <c r="O13" s="2213"/>
      <c r="P13" s="2213"/>
      <c r="Q13" s="2213"/>
      <c r="R13" s="2213"/>
      <c r="S13" s="2213"/>
      <c r="T13" s="2213"/>
      <c r="U13" s="2213"/>
      <c r="V13" s="2213"/>
      <c r="W13" s="2213"/>
      <c r="X13" s="2213"/>
      <c r="Y13" s="1027" t="s">
        <v>695</v>
      </c>
      <c r="Z13" s="2198"/>
      <c r="AA13" s="2199"/>
      <c r="AC13" s="2169" t="b">
        <f>Z12="○"</f>
        <v>0</v>
      </c>
      <c r="AD13" s="189">
        <v>10</v>
      </c>
      <c r="AL13" s="188">
        <f>【様式１】総括表・個票!Z245</f>
        <v>0</v>
      </c>
    </row>
    <row r="14" spans="1:38" ht="15" customHeight="1">
      <c r="A14" s="2187">
        <v>6</v>
      </c>
      <c r="B14" s="2188"/>
      <c r="C14" s="2189"/>
      <c r="D14" s="2187" t="s">
        <v>696</v>
      </c>
      <c r="E14" s="2188"/>
      <c r="F14" s="2188"/>
      <c r="G14" s="2188"/>
      <c r="H14" s="2217" t="s">
        <v>664</v>
      </c>
      <c r="I14" s="2195"/>
      <c r="J14" s="2195"/>
      <c r="K14" s="2218"/>
      <c r="L14" s="2219"/>
      <c r="M14" s="2220"/>
      <c r="N14" s="2220"/>
      <c r="O14" s="2220"/>
      <c r="P14" s="2220"/>
      <c r="Q14" s="2220"/>
      <c r="R14" s="2220"/>
      <c r="S14" s="2220"/>
      <c r="T14" s="2220"/>
      <c r="U14" s="2220"/>
      <c r="V14" s="2220"/>
      <c r="W14" s="2220"/>
      <c r="X14" s="2220"/>
      <c r="Y14" s="1028"/>
      <c r="Z14" s="2196" t="str">
        <f>IF(AND(L14&lt;&gt;"",L15&lt;&gt;""),"○","×")</f>
        <v>×</v>
      </c>
      <c r="AA14" s="2197"/>
      <c r="AC14" s="2169"/>
      <c r="AD14" s="189">
        <v>11</v>
      </c>
      <c r="AL14" s="188">
        <f>【様式１】総括表・個票!AB245</f>
        <v>0</v>
      </c>
    </row>
    <row r="15" spans="1:38" ht="15" customHeight="1">
      <c r="A15" s="2214"/>
      <c r="B15" s="2215"/>
      <c r="C15" s="2216"/>
      <c r="D15" s="2214"/>
      <c r="E15" s="2215"/>
      <c r="F15" s="2215"/>
      <c r="G15" s="2215"/>
      <c r="H15" s="2223" t="s">
        <v>697</v>
      </c>
      <c r="I15" s="2224"/>
      <c r="J15" s="2224"/>
      <c r="K15" s="2225"/>
      <c r="L15" s="2226"/>
      <c r="M15" s="2227"/>
      <c r="N15" s="2227"/>
      <c r="O15" s="2227"/>
      <c r="P15" s="2227"/>
      <c r="Q15" s="2227"/>
      <c r="R15" s="2227"/>
      <c r="S15" s="2227"/>
      <c r="T15" s="2227"/>
      <c r="U15" s="2227"/>
      <c r="V15" s="2227"/>
      <c r="W15" s="2227"/>
      <c r="X15" s="2227"/>
      <c r="Y15" s="1029"/>
      <c r="Z15" s="2221"/>
      <c r="AA15" s="2222"/>
      <c r="AC15" s="2169" t="b">
        <f>Z14="○"</f>
        <v>0</v>
      </c>
      <c r="AD15" s="189">
        <v>12</v>
      </c>
      <c r="AL15" s="187" t="s">
        <v>1337</v>
      </c>
    </row>
    <row r="16" spans="1:38" ht="15" customHeight="1" thickBot="1">
      <c r="A16" s="207"/>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C16" s="2169"/>
      <c r="AD16" s="189">
        <v>13</v>
      </c>
      <c r="AL16" s="187">
        <f>HLOOKUP(【様式１】総括表・個票!$I$10,【様式１】総括表・個票!$F$243:$AC$245,3,0)</f>
        <v>0</v>
      </c>
    </row>
    <row r="17" spans="1:30" ht="15" customHeight="1">
      <c r="A17" s="2172" t="s">
        <v>698</v>
      </c>
      <c r="B17" s="2173"/>
      <c r="C17" s="2173"/>
      <c r="D17" s="2173"/>
      <c r="E17" s="2173"/>
      <c r="F17" s="2173"/>
      <c r="G17" s="2173"/>
      <c r="H17" s="2173"/>
      <c r="I17" s="2173"/>
      <c r="J17" s="2173"/>
      <c r="K17" s="2173"/>
      <c r="L17" s="2173"/>
      <c r="M17" s="2173"/>
      <c r="N17" s="2173"/>
      <c r="O17" s="2173"/>
      <c r="P17" s="2173"/>
      <c r="Q17" s="2173"/>
      <c r="R17" s="2173"/>
      <c r="S17" s="2173"/>
      <c r="T17" s="2173"/>
      <c r="U17" s="2173"/>
      <c r="V17" s="2173"/>
      <c r="W17" s="2173"/>
      <c r="X17" s="2173"/>
      <c r="Y17" s="2173"/>
      <c r="Z17" s="2173"/>
      <c r="AA17" s="2174"/>
      <c r="AC17" s="1030"/>
      <c r="AD17" s="189">
        <v>14</v>
      </c>
    </row>
    <row r="18" spans="1:30" ht="15" customHeight="1" thickBot="1">
      <c r="A18" s="2175" t="s">
        <v>252</v>
      </c>
      <c r="B18" s="2176"/>
      <c r="C18" s="2177"/>
      <c r="D18" s="2178" t="s">
        <v>699</v>
      </c>
      <c r="E18" s="2178"/>
      <c r="F18" s="2178"/>
      <c r="G18" s="2178"/>
      <c r="H18" s="2178"/>
      <c r="I18" s="2178"/>
      <c r="J18" s="2178"/>
      <c r="K18" s="2178"/>
      <c r="L18" s="2178"/>
      <c r="M18" s="2178"/>
      <c r="N18" s="2178"/>
      <c r="O18" s="2178"/>
      <c r="P18" s="2178"/>
      <c r="Q18" s="2178"/>
      <c r="R18" s="2178"/>
      <c r="S18" s="2178"/>
      <c r="T18" s="2178" t="s">
        <v>666</v>
      </c>
      <c r="U18" s="2178"/>
      <c r="V18" s="2178"/>
      <c r="W18" s="2178"/>
      <c r="X18" s="2179"/>
      <c r="Y18" s="2179"/>
      <c r="Z18" s="2180" t="s">
        <v>94</v>
      </c>
      <c r="AA18" s="2181"/>
      <c r="AC18" s="1030"/>
      <c r="AD18" s="189">
        <v>15</v>
      </c>
    </row>
    <row r="19" spans="1:30" ht="15" customHeight="1">
      <c r="A19" s="2182">
        <v>1</v>
      </c>
      <c r="B19" s="2183"/>
      <c r="C19" s="2184"/>
      <c r="D19" s="2228" t="s">
        <v>700</v>
      </c>
      <c r="E19" s="2228"/>
      <c r="F19" s="2228"/>
      <c r="G19" s="2228"/>
      <c r="H19" s="2228"/>
      <c r="I19" s="2228"/>
      <c r="J19" s="2228"/>
      <c r="K19" s="2228"/>
      <c r="L19" s="2228"/>
      <c r="M19" s="2228"/>
      <c r="N19" s="2228"/>
      <c r="O19" s="2228"/>
      <c r="P19" s="2228"/>
      <c r="Q19" s="2228"/>
      <c r="R19" s="2228"/>
      <c r="S19" s="2228"/>
      <c r="T19" s="2229"/>
      <c r="U19" s="2229"/>
      <c r="V19" s="2229"/>
      <c r="W19" s="2229"/>
      <c r="X19" s="2229"/>
      <c r="Y19" s="2229"/>
      <c r="Z19" s="2230" t="str">
        <f>IF(T19="はい","○","×")</f>
        <v>×</v>
      </c>
      <c r="AA19" s="2231"/>
      <c r="AC19" s="1030"/>
      <c r="AD19" s="189">
        <v>16</v>
      </c>
    </row>
    <row r="20" spans="1:30" ht="15" customHeight="1">
      <c r="A20" s="2196">
        <v>2</v>
      </c>
      <c r="B20" s="2232"/>
      <c r="C20" s="2197"/>
      <c r="D20" s="2237" t="s">
        <v>701</v>
      </c>
      <c r="E20" s="2237"/>
      <c r="F20" s="2237"/>
      <c r="G20" s="2237"/>
      <c r="H20" s="2237"/>
      <c r="I20" s="2237"/>
      <c r="J20" s="2237"/>
      <c r="K20" s="2237"/>
      <c r="L20" s="2237"/>
      <c r="M20" s="2237"/>
      <c r="N20" s="2237"/>
      <c r="O20" s="2237"/>
      <c r="P20" s="2237"/>
      <c r="Q20" s="2237"/>
      <c r="R20" s="2237"/>
      <c r="S20" s="2237"/>
      <c r="T20" s="2238"/>
      <c r="U20" s="2238"/>
      <c r="V20" s="2238"/>
      <c r="W20" s="2238"/>
      <c r="X20" s="2238"/>
      <c r="Y20" s="2238"/>
      <c r="Z20" s="2239" t="str">
        <f>IF(T20="はい","○","×")</f>
        <v>×</v>
      </c>
      <c r="AA20" s="2240"/>
      <c r="AC20" s="1023" t="b">
        <f>Z19="○"</f>
        <v>0</v>
      </c>
      <c r="AD20" s="189">
        <v>17</v>
      </c>
    </row>
    <row r="21" spans="1:30" ht="15" customHeight="1">
      <c r="A21" s="2233"/>
      <c r="B21" s="2234"/>
      <c r="C21" s="2235"/>
      <c r="D21" s="2237"/>
      <c r="E21" s="2237"/>
      <c r="F21" s="2237"/>
      <c r="G21" s="2237"/>
      <c r="H21" s="2237"/>
      <c r="I21" s="2237"/>
      <c r="J21" s="2237"/>
      <c r="K21" s="2237"/>
      <c r="L21" s="2237"/>
      <c r="M21" s="2237"/>
      <c r="N21" s="2237"/>
      <c r="O21" s="2237"/>
      <c r="P21" s="2237"/>
      <c r="Q21" s="2237"/>
      <c r="R21" s="2237"/>
      <c r="S21" s="2237"/>
      <c r="T21" s="2238"/>
      <c r="U21" s="2238"/>
      <c r="V21" s="2238"/>
      <c r="W21" s="2238"/>
      <c r="X21" s="2238"/>
      <c r="Y21" s="2238"/>
      <c r="Z21" s="2241"/>
      <c r="AA21" s="2242"/>
      <c r="AC21" s="2169" t="b">
        <f>Z20="○"</f>
        <v>0</v>
      </c>
      <c r="AD21" s="189">
        <v>18</v>
      </c>
    </row>
    <row r="22" spans="1:30" ht="15" customHeight="1">
      <c r="A22" s="2198"/>
      <c r="B22" s="2236"/>
      <c r="C22" s="2199"/>
      <c r="D22" s="2237"/>
      <c r="E22" s="2237"/>
      <c r="F22" s="2237"/>
      <c r="G22" s="2237"/>
      <c r="H22" s="2237"/>
      <c r="I22" s="2237"/>
      <c r="J22" s="2237"/>
      <c r="K22" s="2237"/>
      <c r="L22" s="2237"/>
      <c r="M22" s="2237"/>
      <c r="N22" s="2237"/>
      <c r="O22" s="2237"/>
      <c r="P22" s="2237"/>
      <c r="Q22" s="2237"/>
      <c r="R22" s="2237"/>
      <c r="S22" s="2237"/>
      <c r="T22" s="2238"/>
      <c r="U22" s="2238"/>
      <c r="V22" s="2238"/>
      <c r="W22" s="2238"/>
      <c r="X22" s="2238"/>
      <c r="Y22" s="2238"/>
      <c r="Z22" s="2243"/>
      <c r="AA22" s="2244"/>
      <c r="AC22" s="2169"/>
      <c r="AD22" s="189">
        <v>19</v>
      </c>
    </row>
    <row r="23" spans="1:30" ht="15" customHeight="1">
      <c r="A23" s="2196">
        <v>3</v>
      </c>
      <c r="B23" s="2232"/>
      <c r="C23" s="2197"/>
      <c r="D23" s="2245" t="s">
        <v>1341</v>
      </c>
      <c r="E23" s="2246"/>
      <c r="F23" s="2246"/>
      <c r="G23" s="2246"/>
      <c r="H23" s="2246"/>
      <c r="I23" s="2246"/>
      <c r="J23" s="2246"/>
      <c r="K23" s="2246"/>
      <c r="L23" s="2246"/>
      <c r="M23" s="2246"/>
      <c r="N23" s="2246"/>
      <c r="O23" s="2246"/>
      <c r="P23" s="2246"/>
      <c r="Q23" s="2246"/>
      <c r="R23" s="2246"/>
      <c r="S23" s="2246"/>
      <c r="T23" s="2246"/>
      <c r="U23" s="2246"/>
      <c r="V23" s="2246"/>
      <c r="W23" s="2246"/>
      <c r="X23" s="2246"/>
      <c r="Y23" s="2247"/>
      <c r="Z23" s="2239" t="e">
        <f>IF(W32&gt;=Q32,"○","×")</f>
        <v>#DIV/0!</v>
      </c>
      <c r="AA23" s="2240"/>
      <c r="AC23" s="2169"/>
      <c r="AD23" s="189">
        <v>20</v>
      </c>
    </row>
    <row r="24" spans="1:30" ht="15" customHeight="1">
      <c r="A24" s="2233"/>
      <c r="B24" s="2234"/>
      <c r="C24" s="2235"/>
      <c r="E24" s="2248" t="str">
        <f>"＜"&amp;【様式１】総括表・個票!I10&amp;"月分＞"</f>
        <v>＜4月分＞</v>
      </c>
      <c r="F24" s="2248"/>
      <c r="G24" s="2248"/>
      <c r="H24" s="2248"/>
      <c r="I24" s="207"/>
      <c r="J24" s="207"/>
      <c r="K24" s="207"/>
      <c r="L24" s="207"/>
      <c r="M24" s="207"/>
      <c r="N24" s="207"/>
      <c r="O24" s="207"/>
      <c r="P24" s="207"/>
      <c r="Q24" s="207"/>
      <c r="R24" s="207"/>
      <c r="S24" s="207"/>
      <c r="T24" s="207"/>
      <c r="U24" s="207"/>
      <c r="V24" s="207"/>
      <c r="W24" s="207"/>
      <c r="X24" s="207"/>
      <c r="Y24" s="207"/>
      <c r="Z24" s="2241"/>
      <c r="AA24" s="2242"/>
      <c r="AC24" s="1030"/>
      <c r="AD24" s="189">
        <v>21</v>
      </c>
    </row>
    <row r="25" spans="1:30" ht="15" customHeight="1">
      <c r="A25" s="2233"/>
      <c r="B25" s="2234"/>
      <c r="C25" s="2235"/>
      <c r="D25" s="207"/>
      <c r="E25" s="2249" t="str">
        <f>"【様式１】個票11の延べ利用子ども数"&amp;【様式１】総括表・個票!$I$10&amp;"月分の内訳（計"&amp;$AL$16&amp;"名）"</f>
        <v>【様式１】個票11の延べ利用子ども数4月分の内訳（計0名）</v>
      </c>
      <c r="F25" s="2250"/>
      <c r="G25" s="2250"/>
      <c r="H25" s="2250"/>
      <c r="I25" s="2250"/>
      <c r="J25" s="2250"/>
      <c r="K25" s="2250"/>
      <c r="L25" s="2250"/>
      <c r="M25" s="2251"/>
      <c r="N25" s="1847" t="s">
        <v>1342</v>
      </c>
      <c r="O25" s="2121"/>
      <c r="P25" s="1404"/>
      <c r="Q25" s="1847" t="s">
        <v>1343</v>
      </c>
      <c r="R25" s="2121"/>
      <c r="S25" s="1404"/>
      <c r="T25" s="1847" t="s">
        <v>1344</v>
      </c>
      <c r="U25" s="2121"/>
      <c r="V25" s="2121"/>
      <c r="W25" s="2121"/>
      <c r="X25" s="2121"/>
      <c r="Y25" s="1404"/>
      <c r="Z25" s="1152"/>
      <c r="AA25" s="1153"/>
      <c r="AC25" s="1030"/>
      <c r="AD25" s="189">
        <v>22</v>
      </c>
    </row>
    <row r="26" spans="1:30" ht="15" customHeight="1">
      <c r="A26" s="2233"/>
      <c r="B26" s="2234"/>
      <c r="C26" s="2235"/>
      <c r="D26" s="207"/>
      <c r="E26" s="2252"/>
      <c r="F26" s="2253"/>
      <c r="G26" s="2253"/>
      <c r="H26" s="2253"/>
      <c r="I26" s="2253"/>
      <c r="J26" s="2253"/>
      <c r="K26" s="2253"/>
      <c r="L26" s="2253"/>
      <c r="M26" s="2254"/>
      <c r="N26" s="1540"/>
      <c r="O26" s="1541"/>
      <c r="P26" s="1406"/>
      <c r="Q26" s="1540"/>
      <c r="R26" s="1541"/>
      <c r="S26" s="1406"/>
      <c r="T26" s="1540"/>
      <c r="U26" s="1541"/>
      <c r="V26" s="1541"/>
      <c r="W26" s="1541"/>
      <c r="X26" s="1541"/>
      <c r="Y26" s="1406"/>
      <c r="Z26" s="962"/>
      <c r="AA26" s="1149"/>
      <c r="AC26" s="1030"/>
      <c r="AD26" s="189">
        <v>23</v>
      </c>
    </row>
    <row r="27" spans="1:30" ht="15" customHeight="1">
      <c r="A27" s="2233"/>
      <c r="B27" s="2234"/>
      <c r="C27" s="2235"/>
      <c r="D27" s="207"/>
      <c r="E27" s="2255"/>
      <c r="F27" s="2256"/>
      <c r="G27" s="2256"/>
      <c r="H27" s="2256"/>
      <c r="I27" s="2256"/>
      <c r="J27" s="2256"/>
      <c r="K27" s="2256"/>
      <c r="L27" s="2256"/>
      <c r="M27" s="2257"/>
      <c r="N27" s="1542"/>
      <c r="O27" s="1407"/>
      <c r="P27" s="1408"/>
      <c r="Q27" s="1542"/>
      <c r="R27" s="1407"/>
      <c r="S27" s="1408"/>
      <c r="T27" s="1542"/>
      <c r="U27" s="1407"/>
      <c r="V27" s="1407"/>
      <c r="W27" s="1407"/>
      <c r="X27" s="1407"/>
      <c r="Y27" s="1408"/>
      <c r="Z27" s="962"/>
      <c r="AA27" s="1149"/>
      <c r="AC27" s="1030"/>
    </row>
    <row r="28" spans="1:30" ht="15" customHeight="1">
      <c r="A28" s="2233"/>
      <c r="B28" s="2234"/>
      <c r="C28" s="2235"/>
      <c r="D28" s="207"/>
      <c r="E28" s="2258" t="s">
        <v>139</v>
      </c>
      <c r="F28" s="2259"/>
      <c r="G28" s="2259"/>
      <c r="H28" s="2260"/>
      <c r="I28" s="2261"/>
      <c r="J28" s="2262"/>
      <c r="K28" s="2262"/>
      <c r="L28" s="2262"/>
      <c r="M28" s="674" t="s">
        <v>140</v>
      </c>
      <c r="N28" s="2263" t="s">
        <v>1345</v>
      </c>
      <c r="O28" s="2264"/>
      <c r="P28" s="2265"/>
      <c r="Q28" s="2266">
        <f>ROUNDDOWN(I28/3/25,2)</f>
        <v>0</v>
      </c>
      <c r="R28" s="2267"/>
      <c r="S28" s="1160" t="s">
        <v>26</v>
      </c>
      <c r="T28" s="2268" t="s">
        <v>1346</v>
      </c>
      <c r="U28" s="2269"/>
      <c r="V28" s="2269"/>
      <c r="W28" s="2272">
        <f>【様式５】職員数算出表!L184</f>
        <v>0</v>
      </c>
      <c r="X28" s="2272"/>
      <c r="Y28" s="1761" t="s">
        <v>26</v>
      </c>
      <c r="Z28" s="962"/>
      <c r="AA28" s="1149"/>
      <c r="AC28" s="2169" t="e">
        <f>Z23="○"</f>
        <v>#DIV/0!</v>
      </c>
    </row>
    <row r="29" spans="1:30" ht="15" customHeight="1">
      <c r="A29" s="2233"/>
      <c r="B29" s="2234"/>
      <c r="C29" s="2235"/>
      <c r="E29" s="2275" t="s">
        <v>141</v>
      </c>
      <c r="F29" s="2276"/>
      <c r="G29" s="2276"/>
      <c r="H29" s="2277"/>
      <c r="I29" s="2278"/>
      <c r="J29" s="2279"/>
      <c r="K29" s="2279"/>
      <c r="L29" s="2279"/>
      <c r="M29" s="685" t="s">
        <v>140</v>
      </c>
      <c r="N29" s="2280" t="s">
        <v>1347</v>
      </c>
      <c r="O29" s="2281"/>
      <c r="P29" s="2282"/>
      <c r="Q29" s="2283">
        <f>ROUNDDOWN(I29/6/25,2)</f>
        <v>0</v>
      </c>
      <c r="R29" s="2284"/>
      <c r="S29" s="685" t="s">
        <v>26</v>
      </c>
      <c r="T29" s="2270"/>
      <c r="U29" s="2271"/>
      <c r="V29" s="2271"/>
      <c r="W29" s="2273"/>
      <c r="X29" s="2273"/>
      <c r="Y29" s="2274"/>
      <c r="Z29" s="2233" t="s">
        <v>1348</v>
      </c>
      <c r="AA29" s="2235"/>
      <c r="AC29" s="2169"/>
    </row>
    <row r="30" spans="1:30" ht="15" customHeight="1">
      <c r="A30" s="2233"/>
      <c r="B30" s="2234"/>
      <c r="C30" s="2235"/>
      <c r="D30" s="207"/>
      <c r="E30" s="2275" t="s">
        <v>142</v>
      </c>
      <c r="F30" s="2276"/>
      <c r="G30" s="2276"/>
      <c r="H30" s="2277"/>
      <c r="I30" s="2278"/>
      <c r="J30" s="2279"/>
      <c r="K30" s="2279"/>
      <c r="L30" s="2279"/>
      <c r="M30" s="685" t="s">
        <v>140</v>
      </c>
      <c r="N30" s="2280" t="s">
        <v>1349</v>
      </c>
      <c r="O30" s="2281"/>
      <c r="P30" s="2282"/>
      <c r="Q30" s="2283">
        <f>ROUNDDOWN(I30/20/25,2)</f>
        <v>0</v>
      </c>
      <c r="R30" s="2284"/>
      <c r="S30" s="685" t="s">
        <v>26</v>
      </c>
      <c r="T30" s="1586" t="s">
        <v>1350</v>
      </c>
      <c r="U30" s="1587"/>
      <c r="V30" s="1587"/>
      <c r="W30" s="2285" t="e">
        <f>V54</f>
        <v>#DIV/0!</v>
      </c>
      <c r="X30" s="2285"/>
      <c r="Y30" s="2287" t="s">
        <v>26</v>
      </c>
      <c r="Z30" s="2233"/>
      <c r="AA30" s="2235"/>
      <c r="AC30" s="2169"/>
    </row>
    <row r="31" spans="1:30" ht="15" customHeight="1">
      <c r="A31" s="2233"/>
      <c r="B31" s="2234"/>
      <c r="C31" s="2235"/>
      <c r="D31" s="207"/>
      <c r="E31" s="2288" t="s">
        <v>143</v>
      </c>
      <c r="F31" s="1659"/>
      <c r="G31" s="1659"/>
      <c r="H31" s="2289"/>
      <c r="I31" s="2290"/>
      <c r="J31" s="2291"/>
      <c r="K31" s="2291"/>
      <c r="L31" s="2291"/>
      <c r="M31" s="684" t="s">
        <v>140</v>
      </c>
      <c r="N31" s="2292" t="s">
        <v>1351</v>
      </c>
      <c r="O31" s="2293"/>
      <c r="P31" s="2294"/>
      <c r="Q31" s="2295">
        <f>ROUNDDOWN(I31/30/25,2)</f>
        <v>0</v>
      </c>
      <c r="R31" s="2296"/>
      <c r="S31" s="684" t="s">
        <v>26</v>
      </c>
      <c r="T31" s="1589"/>
      <c r="U31" s="1424"/>
      <c r="V31" s="1424"/>
      <c r="W31" s="2286"/>
      <c r="X31" s="2286"/>
      <c r="Y31" s="2037"/>
      <c r="Z31" s="2233" t="s">
        <v>1352</v>
      </c>
      <c r="AA31" s="2235"/>
      <c r="AC31" s="2169"/>
    </row>
    <row r="32" spans="1:30" ht="15" customHeight="1">
      <c r="A32" s="2233"/>
      <c r="B32" s="2234"/>
      <c r="C32" s="2235"/>
      <c r="D32" s="207"/>
      <c r="E32" s="1713" t="s">
        <v>144</v>
      </c>
      <c r="F32" s="1714"/>
      <c r="G32" s="1714"/>
      <c r="H32" s="1616"/>
      <c r="I32" s="1713">
        <f>SUM(I28:L31)</f>
        <v>0</v>
      </c>
      <c r="J32" s="1714"/>
      <c r="K32" s="1714"/>
      <c r="L32" s="1714"/>
      <c r="M32" s="684" t="s">
        <v>140</v>
      </c>
      <c r="N32" s="1473"/>
      <c r="O32" s="1474"/>
      <c r="P32" s="1475"/>
      <c r="Q32" s="2297">
        <f>IF(ROUND(SUM(Q28:R31),1)&lt;0.5,0.5,ROUND(SUM(Q28:R31),1))</f>
        <v>0.5</v>
      </c>
      <c r="R32" s="2298"/>
      <c r="S32" s="1151" t="s">
        <v>26</v>
      </c>
      <c r="T32" s="1154"/>
      <c r="U32" s="816"/>
      <c r="V32" s="816"/>
      <c r="W32" s="2299" t="e">
        <f>SUM(W28:X31)</f>
        <v>#DIV/0!</v>
      </c>
      <c r="X32" s="2299"/>
      <c r="Y32" s="1146" t="s">
        <v>26</v>
      </c>
      <c r="Z32" s="2233"/>
      <c r="AA32" s="2235"/>
      <c r="AC32" s="2169"/>
    </row>
    <row r="33" spans="1:29" ht="15" customHeight="1">
      <c r="A33" s="2233"/>
      <c r="B33" s="2234"/>
      <c r="C33" s="2235"/>
      <c r="D33" s="207"/>
      <c r="E33" s="1155" t="s">
        <v>1353</v>
      </c>
      <c r="F33" s="1155"/>
      <c r="G33" s="1155"/>
      <c r="H33" s="1155"/>
      <c r="I33" s="1155"/>
      <c r="J33" s="1155"/>
      <c r="K33" s="1155"/>
      <c r="L33" s="1155"/>
      <c r="M33" s="1155"/>
      <c r="N33" s="1155"/>
      <c r="O33" s="1155"/>
      <c r="P33" s="1155"/>
      <c r="Q33" s="1155"/>
      <c r="R33" s="1155"/>
      <c r="S33" s="1155"/>
      <c r="T33" s="1155"/>
      <c r="U33" s="1155"/>
      <c r="V33" s="1155"/>
      <c r="W33" s="1155"/>
      <c r="X33" s="1155"/>
      <c r="Y33" s="1155"/>
      <c r="Z33" s="962"/>
      <c r="AA33" s="1149"/>
      <c r="AC33" s="2169"/>
    </row>
    <row r="34" spans="1:29" ht="15" customHeight="1">
      <c r="A34" s="2233"/>
      <c r="B34" s="2234"/>
      <c r="C34" s="2235"/>
      <c r="D34" s="207"/>
      <c r="E34" s="1155" t="s">
        <v>1354</v>
      </c>
      <c r="F34" s="1155"/>
      <c r="G34" s="1155"/>
      <c r="H34" s="1155"/>
      <c r="I34" s="1155"/>
      <c r="J34" s="1155"/>
      <c r="K34" s="1155"/>
      <c r="L34" s="1155"/>
      <c r="M34" s="1155"/>
      <c r="N34" s="1155"/>
      <c r="O34" s="1155"/>
      <c r="P34" s="1155"/>
      <c r="Q34" s="1155"/>
      <c r="R34" s="1155"/>
      <c r="S34" s="1155"/>
      <c r="T34" s="1155"/>
      <c r="U34" s="1155"/>
      <c r="V34" s="1155"/>
      <c r="W34" s="1155"/>
      <c r="X34" s="1155"/>
      <c r="Y34" s="1155"/>
      <c r="Z34" s="1155"/>
      <c r="AA34" s="1156"/>
      <c r="AC34" s="2169"/>
    </row>
    <row r="35" spans="1:29" ht="15" customHeight="1">
      <c r="A35" s="2233"/>
      <c r="B35" s="2234"/>
      <c r="C35" s="2235"/>
      <c r="D35" s="207"/>
      <c r="E35" s="2300" t="s">
        <v>1348</v>
      </c>
      <c r="F35" s="2301"/>
      <c r="G35" s="2302" t="s">
        <v>1355</v>
      </c>
      <c r="H35" s="2301"/>
      <c r="I35" s="2301"/>
      <c r="J35" s="2301"/>
      <c r="K35" s="2301"/>
      <c r="L35" s="2301"/>
      <c r="M35" s="2301"/>
      <c r="N35" s="2301"/>
      <c r="O35" s="2301"/>
      <c r="P35" s="2301"/>
      <c r="Q35" s="2301"/>
      <c r="R35" s="2303"/>
      <c r="S35" s="2302" t="s">
        <v>1356</v>
      </c>
      <c r="T35" s="2301"/>
      <c r="U35" s="2301"/>
      <c r="V35" s="2301"/>
      <c r="W35" s="2301"/>
      <c r="X35" s="2301"/>
      <c r="Y35" s="2304"/>
      <c r="Z35" s="1155"/>
      <c r="AA35" s="1156"/>
      <c r="AC35" s="2169"/>
    </row>
    <row r="36" spans="1:29" ht="15" customHeight="1">
      <c r="A36" s="2233"/>
      <c r="B36" s="2234"/>
      <c r="C36" s="2235"/>
      <c r="D36" s="962"/>
      <c r="E36" s="1157"/>
      <c r="F36" s="1157"/>
      <c r="G36" s="1157"/>
      <c r="H36" s="1157"/>
      <c r="I36" s="1157"/>
      <c r="J36" s="1157"/>
      <c r="K36" s="1157"/>
      <c r="L36" s="1157"/>
      <c r="M36" s="1157"/>
      <c r="N36" s="1157"/>
      <c r="O36" s="1157"/>
      <c r="P36" s="1157"/>
      <c r="Q36" s="1157"/>
      <c r="R36" s="1157"/>
      <c r="S36" s="1157"/>
      <c r="T36" s="1157"/>
      <c r="U36" s="1157"/>
      <c r="V36" s="1157"/>
      <c r="W36" s="1157"/>
      <c r="X36" s="1157"/>
      <c r="Y36" s="1157"/>
      <c r="Z36" s="962"/>
      <c r="AA36" s="1149"/>
      <c r="AC36" s="2169"/>
    </row>
    <row r="37" spans="1:29" ht="15" customHeight="1">
      <c r="A37" s="2233"/>
      <c r="B37" s="2234"/>
      <c r="C37" s="2235"/>
      <c r="D37" s="207"/>
      <c r="E37" s="2305" t="s">
        <v>1352</v>
      </c>
      <c r="F37" s="2306"/>
      <c r="G37" s="2307" t="s">
        <v>1357</v>
      </c>
      <c r="H37" s="2306"/>
      <c r="I37" s="2306"/>
      <c r="J37" s="2306"/>
      <c r="K37" s="2306"/>
      <c r="L37" s="2306"/>
      <c r="M37" s="2306"/>
      <c r="N37" s="2306"/>
      <c r="O37" s="2306"/>
      <c r="P37" s="2306"/>
      <c r="Q37" s="2306"/>
      <c r="R37" s="2308"/>
      <c r="S37" s="2307" t="s">
        <v>1358</v>
      </c>
      <c r="T37" s="2306"/>
      <c r="U37" s="2306"/>
      <c r="V37" s="2306"/>
      <c r="W37" s="2306"/>
      <c r="X37" s="2306"/>
      <c r="Y37" s="2309"/>
      <c r="Z37" s="962"/>
      <c r="AA37" s="1149"/>
      <c r="AC37" s="2169"/>
    </row>
    <row r="38" spans="1:29" ht="15" customHeight="1">
      <c r="A38" s="2233"/>
      <c r="B38" s="2234"/>
      <c r="C38" s="2235"/>
      <c r="D38" s="207"/>
      <c r="E38" s="2310" t="s">
        <v>252</v>
      </c>
      <c r="F38" s="2311"/>
      <c r="G38" s="2312" t="s">
        <v>356</v>
      </c>
      <c r="H38" s="2313"/>
      <c r="I38" s="2313"/>
      <c r="J38" s="2313"/>
      <c r="K38" s="2312" t="s">
        <v>702</v>
      </c>
      <c r="L38" s="2313"/>
      <c r="M38" s="2313"/>
      <c r="N38" s="2313"/>
      <c r="O38" s="2313"/>
      <c r="P38" s="2313"/>
      <c r="Q38" s="2313"/>
      <c r="R38" s="2313"/>
      <c r="S38" s="2314" t="s">
        <v>10</v>
      </c>
      <c r="T38" s="2315"/>
      <c r="U38" s="2315"/>
      <c r="V38" s="2315"/>
      <c r="W38" s="2315"/>
      <c r="X38" s="2315"/>
      <c r="Y38" s="2316"/>
      <c r="Z38" s="962"/>
      <c r="AA38" s="1149"/>
      <c r="AC38" s="2169"/>
    </row>
    <row r="39" spans="1:29" ht="15" customHeight="1">
      <c r="A39" s="2233"/>
      <c r="B39" s="2234"/>
      <c r="C39" s="2235"/>
      <c r="D39" s="207"/>
      <c r="E39" s="2317">
        <v>1</v>
      </c>
      <c r="F39" s="2318"/>
      <c r="G39" s="2319"/>
      <c r="H39" s="2320"/>
      <c r="I39" s="2320"/>
      <c r="J39" s="2320"/>
      <c r="K39" s="2321"/>
      <c r="L39" s="2322"/>
      <c r="M39" s="2322"/>
      <c r="N39" s="2322"/>
      <c r="O39" s="2322"/>
      <c r="P39" s="2322"/>
      <c r="Q39" s="2322"/>
      <c r="R39" s="2323"/>
      <c r="S39" s="2322"/>
      <c r="T39" s="2322"/>
      <c r="U39" s="2322"/>
      <c r="V39" s="2322"/>
      <c r="W39" s="2322"/>
      <c r="X39" s="2322"/>
      <c r="Y39" s="2324"/>
      <c r="Z39" s="962"/>
      <c r="AA39" s="1149"/>
      <c r="AC39" s="2169"/>
    </row>
    <row r="40" spans="1:29" ht="15" customHeight="1">
      <c r="A40" s="2233"/>
      <c r="B40" s="2234"/>
      <c r="C40" s="2235"/>
      <c r="D40" s="207"/>
      <c r="E40" s="2317">
        <v>2</v>
      </c>
      <c r="F40" s="2318"/>
      <c r="G40" s="2319"/>
      <c r="H40" s="2320"/>
      <c r="I40" s="2320"/>
      <c r="J40" s="2320"/>
      <c r="K40" s="2321"/>
      <c r="L40" s="2322"/>
      <c r="M40" s="2322"/>
      <c r="N40" s="2322"/>
      <c r="O40" s="2322"/>
      <c r="P40" s="2322"/>
      <c r="Q40" s="2322"/>
      <c r="R40" s="2323"/>
      <c r="S40" s="2322"/>
      <c r="T40" s="2322"/>
      <c r="U40" s="2322"/>
      <c r="V40" s="2322"/>
      <c r="W40" s="2322"/>
      <c r="X40" s="2322"/>
      <c r="Y40" s="2324"/>
      <c r="Z40" s="962"/>
      <c r="AA40" s="1149"/>
      <c r="AC40" s="2169"/>
    </row>
    <row r="41" spans="1:29" ht="15" customHeight="1">
      <c r="A41" s="2233"/>
      <c r="B41" s="2234"/>
      <c r="C41" s="2235"/>
      <c r="D41" s="207"/>
      <c r="E41" s="2317">
        <v>3</v>
      </c>
      <c r="F41" s="2318"/>
      <c r="G41" s="2319"/>
      <c r="H41" s="2320"/>
      <c r="I41" s="2320"/>
      <c r="J41" s="2320"/>
      <c r="K41" s="2321"/>
      <c r="L41" s="2322"/>
      <c r="M41" s="2322"/>
      <c r="N41" s="2322"/>
      <c r="O41" s="2322"/>
      <c r="P41" s="2322"/>
      <c r="Q41" s="2322"/>
      <c r="R41" s="2323"/>
      <c r="S41" s="2322"/>
      <c r="T41" s="2322"/>
      <c r="U41" s="2322"/>
      <c r="V41" s="2322"/>
      <c r="W41" s="2322"/>
      <c r="X41" s="2322"/>
      <c r="Y41" s="2324"/>
      <c r="Z41" s="962"/>
      <c r="AA41" s="1149"/>
      <c r="AC41" s="2169"/>
    </row>
    <row r="42" spans="1:29" ht="15" customHeight="1">
      <c r="A42" s="2233"/>
      <c r="B42" s="2234"/>
      <c r="C42" s="2235"/>
      <c r="D42" s="207"/>
      <c r="E42" s="2317">
        <v>4</v>
      </c>
      <c r="F42" s="2318"/>
      <c r="G42" s="2319"/>
      <c r="H42" s="2320"/>
      <c r="I42" s="2320"/>
      <c r="J42" s="2320"/>
      <c r="K42" s="2321"/>
      <c r="L42" s="2322"/>
      <c r="M42" s="2322"/>
      <c r="N42" s="2322"/>
      <c r="O42" s="2322"/>
      <c r="P42" s="2322"/>
      <c r="Q42" s="2322"/>
      <c r="R42" s="2323"/>
      <c r="S42" s="2322"/>
      <c r="T42" s="2322"/>
      <c r="U42" s="2322"/>
      <c r="V42" s="2322"/>
      <c r="W42" s="2322"/>
      <c r="X42" s="2322"/>
      <c r="Y42" s="2324"/>
      <c r="Z42" s="962"/>
      <c r="AA42" s="1149"/>
      <c r="AC42" s="2169"/>
    </row>
    <row r="43" spans="1:29">
      <c r="A43" s="2233"/>
      <c r="B43" s="2234"/>
      <c r="C43" s="2235"/>
      <c r="D43" s="207"/>
      <c r="E43" s="2317">
        <v>5</v>
      </c>
      <c r="F43" s="2318"/>
      <c r="G43" s="2319"/>
      <c r="H43" s="2320"/>
      <c r="I43" s="2320"/>
      <c r="J43" s="2320"/>
      <c r="K43" s="2321"/>
      <c r="L43" s="2322"/>
      <c r="M43" s="2322"/>
      <c r="N43" s="2322"/>
      <c r="O43" s="2322"/>
      <c r="P43" s="2322"/>
      <c r="Q43" s="2322"/>
      <c r="R43" s="2323"/>
      <c r="S43" s="2322"/>
      <c r="T43" s="2322"/>
      <c r="U43" s="2322"/>
      <c r="V43" s="2322"/>
      <c r="W43" s="2322"/>
      <c r="X43" s="2322"/>
      <c r="Y43" s="2324"/>
      <c r="Z43" s="962"/>
      <c r="AA43" s="1149"/>
      <c r="AC43" s="2169"/>
    </row>
    <row r="44" spans="1:29">
      <c r="A44" s="2233"/>
      <c r="B44" s="2234"/>
      <c r="C44" s="2235"/>
      <c r="D44" s="207"/>
      <c r="E44" s="2317">
        <v>6</v>
      </c>
      <c r="F44" s="2318"/>
      <c r="G44" s="2319"/>
      <c r="H44" s="2320"/>
      <c r="I44" s="2320"/>
      <c r="J44" s="2320"/>
      <c r="K44" s="2321"/>
      <c r="L44" s="2322"/>
      <c r="M44" s="2322"/>
      <c r="N44" s="2322"/>
      <c r="O44" s="2322"/>
      <c r="P44" s="2322"/>
      <c r="Q44" s="2322"/>
      <c r="R44" s="2323"/>
      <c r="S44" s="2322"/>
      <c r="T44" s="2322"/>
      <c r="U44" s="2322"/>
      <c r="V44" s="2322"/>
      <c r="W44" s="2322"/>
      <c r="X44" s="2322"/>
      <c r="Y44" s="2324"/>
      <c r="Z44" s="962"/>
      <c r="AA44" s="1149"/>
    </row>
    <row r="45" spans="1:29">
      <c r="A45" s="2233"/>
      <c r="B45" s="2234"/>
      <c r="C45" s="2235"/>
      <c r="D45" s="207"/>
      <c r="E45" s="2317">
        <v>7</v>
      </c>
      <c r="F45" s="2318"/>
      <c r="G45" s="2319"/>
      <c r="H45" s="2320"/>
      <c r="I45" s="2320"/>
      <c r="J45" s="2320"/>
      <c r="K45" s="2321"/>
      <c r="L45" s="2322"/>
      <c r="M45" s="2322"/>
      <c r="N45" s="2322"/>
      <c r="O45" s="2322"/>
      <c r="P45" s="2322"/>
      <c r="Q45" s="2322"/>
      <c r="R45" s="2323"/>
      <c r="S45" s="2322"/>
      <c r="T45" s="2322"/>
      <c r="U45" s="2322"/>
      <c r="V45" s="2322"/>
      <c r="W45" s="2322"/>
      <c r="X45" s="2322"/>
      <c r="Y45" s="2324"/>
      <c r="Z45" s="962"/>
      <c r="AA45" s="1149"/>
    </row>
    <row r="46" spans="1:29">
      <c r="A46" s="2233"/>
      <c r="B46" s="2234"/>
      <c r="C46" s="2235"/>
      <c r="D46" s="207"/>
      <c r="E46" s="2317">
        <v>8</v>
      </c>
      <c r="F46" s="2318"/>
      <c r="G46" s="2319"/>
      <c r="H46" s="2320"/>
      <c r="I46" s="2320"/>
      <c r="J46" s="2320"/>
      <c r="K46" s="2321"/>
      <c r="L46" s="2322"/>
      <c r="M46" s="2322"/>
      <c r="N46" s="2322"/>
      <c r="O46" s="2322"/>
      <c r="P46" s="2322"/>
      <c r="Q46" s="2322"/>
      <c r="R46" s="2323"/>
      <c r="S46" s="2322"/>
      <c r="T46" s="2322"/>
      <c r="U46" s="2322"/>
      <c r="V46" s="2322"/>
      <c r="W46" s="2322"/>
      <c r="X46" s="2322"/>
      <c r="Y46" s="2324"/>
      <c r="Z46" s="962"/>
      <c r="AA46" s="1149"/>
    </row>
    <row r="47" spans="1:29">
      <c r="A47" s="2233"/>
      <c r="B47" s="2234"/>
      <c r="C47" s="2235"/>
      <c r="D47" s="207"/>
      <c r="E47" s="2317">
        <v>9</v>
      </c>
      <c r="F47" s="2318"/>
      <c r="G47" s="2319"/>
      <c r="H47" s="2320"/>
      <c r="I47" s="2320"/>
      <c r="J47" s="2320"/>
      <c r="K47" s="2321"/>
      <c r="L47" s="2322"/>
      <c r="M47" s="2322"/>
      <c r="N47" s="2322"/>
      <c r="O47" s="2322"/>
      <c r="P47" s="2322"/>
      <c r="Q47" s="2322"/>
      <c r="R47" s="2323"/>
      <c r="S47" s="2322"/>
      <c r="T47" s="2322"/>
      <c r="U47" s="2322"/>
      <c r="V47" s="2322"/>
      <c r="W47" s="2322"/>
      <c r="X47" s="2322"/>
      <c r="Y47" s="2324"/>
      <c r="Z47" s="962"/>
      <c r="AA47" s="1149"/>
    </row>
    <row r="48" spans="1:29">
      <c r="A48" s="2233"/>
      <c r="B48" s="2234"/>
      <c r="C48" s="2235"/>
      <c r="D48" s="207"/>
      <c r="E48" s="2317">
        <v>10</v>
      </c>
      <c r="F48" s="2318"/>
      <c r="G48" s="2319"/>
      <c r="H48" s="2320"/>
      <c r="I48" s="2320"/>
      <c r="J48" s="2320"/>
      <c r="K48" s="2321"/>
      <c r="L48" s="2322"/>
      <c r="M48" s="2322"/>
      <c r="N48" s="2322"/>
      <c r="O48" s="2322"/>
      <c r="P48" s="2322"/>
      <c r="Q48" s="2322"/>
      <c r="R48" s="2323"/>
      <c r="S48" s="2322"/>
      <c r="T48" s="2322"/>
      <c r="U48" s="2322"/>
      <c r="V48" s="2322"/>
      <c r="W48" s="2322"/>
      <c r="X48" s="2322"/>
      <c r="Y48" s="2324"/>
      <c r="Z48" s="962"/>
      <c r="AA48" s="1149"/>
    </row>
    <row r="49" spans="1:27">
      <c r="A49" s="2233"/>
      <c r="B49" s="2234"/>
      <c r="C49" s="2235"/>
      <c r="D49" s="207"/>
      <c r="E49" s="2317">
        <v>11</v>
      </c>
      <c r="F49" s="2318"/>
      <c r="G49" s="2319"/>
      <c r="H49" s="2320"/>
      <c r="I49" s="2320"/>
      <c r="J49" s="2320"/>
      <c r="K49" s="2321"/>
      <c r="L49" s="2322"/>
      <c r="M49" s="2322"/>
      <c r="N49" s="2322"/>
      <c r="O49" s="2322"/>
      <c r="P49" s="2322"/>
      <c r="Q49" s="2322"/>
      <c r="R49" s="2323"/>
      <c r="S49" s="2322"/>
      <c r="T49" s="2322"/>
      <c r="U49" s="2322"/>
      <c r="V49" s="2322"/>
      <c r="W49" s="2322"/>
      <c r="X49" s="2322"/>
      <c r="Y49" s="2324"/>
      <c r="Z49" s="962"/>
      <c r="AA49" s="1149"/>
    </row>
    <row r="50" spans="1:27">
      <c r="A50" s="2233"/>
      <c r="B50" s="2234"/>
      <c r="C50" s="2235"/>
      <c r="D50" s="207"/>
      <c r="E50" s="2317">
        <v>12</v>
      </c>
      <c r="F50" s="2318"/>
      <c r="G50" s="2319"/>
      <c r="H50" s="2320"/>
      <c r="I50" s="2320"/>
      <c r="J50" s="2320"/>
      <c r="K50" s="2321"/>
      <c r="L50" s="2322"/>
      <c r="M50" s="2322"/>
      <c r="N50" s="2322"/>
      <c r="O50" s="2322"/>
      <c r="P50" s="2322"/>
      <c r="Q50" s="2322"/>
      <c r="R50" s="2323"/>
      <c r="S50" s="2322"/>
      <c r="T50" s="2322"/>
      <c r="U50" s="2322"/>
      <c r="V50" s="2322"/>
      <c r="W50" s="2322"/>
      <c r="X50" s="2322"/>
      <c r="Y50" s="2324"/>
      <c r="Z50" s="962"/>
      <c r="AA50" s="1149"/>
    </row>
    <row r="51" spans="1:27">
      <c r="A51" s="2233"/>
      <c r="B51" s="2234"/>
      <c r="C51" s="2235"/>
      <c r="D51" s="207"/>
      <c r="E51" s="2317">
        <v>13</v>
      </c>
      <c r="F51" s="2318"/>
      <c r="G51" s="2319"/>
      <c r="H51" s="2320"/>
      <c r="I51" s="2320"/>
      <c r="J51" s="2320"/>
      <c r="K51" s="2321"/>
      <c r="L51" s="2322"/>
      <c r="M51" s="2322"/>
      <c r="N51" s="2322"/>
      <c r="O51" s="2322"/>
      <c r="P51" s="2322"/>
      <c r="Q51" s="2322"/>
      <c r="R51" s="2323"/>
      <c r="S51" s="2322"/>
      <c r="T51" s="2322"/>
      <c r="U51" s="2322"/>
      <c r="V51" s="2322"/>
      <c r="W51" s="2322"/>
      <c r="X51" s="2322"/>
      <c r="Y51" s="2324"/>
      <c r="Z51" s="962"/>
      <c r="AA51" s="1149"/>
    </row>
    <row r="52" spans="1:27">
      <c r="A52" s="2233"/>
      <c r="B52" s="2234"/>
      <c r="C52" s="2235"/>
      <c r="D52" s="207"/>
      <c r="E52" s="2317">
        <v>14</v>
      </c>
      <c r="F52" s="2318"/>
      <c r="G52" s="2319"/>
      <c r="H52" s="2320"/>
      <c r="I52" s="2320"/>
      <c r="J52" s="2320"/>
      <c r="K52" s="2321"/>
      <c r="L52" s="2322"/>
      <c r="M52" s="2322"/>
      <c r="N52" s="2322"/>
      <c r="O52" s="2322"/>
      <c r="P52" s="2322"/>
      <c r="Q52" s="2322"/>
      <c r="R52" s="2323"/>
      <c r="S52" s="2322"/>
      <c r="T52" s="2322"/>
      <c r="U52" s="2322"/>
      <c r="V52" s="2322"/>
      <c r="W52" s="2322"/>
      <c r="X52" s="2322"/>
      <c r="Y52" s="2324"/>
      <c r="Z52" s="962"/>
      <c r="AA52" s="1149"/>
    </row>
    <row r="53" spans="1:27">
      <c r="A53" s="2233"/>
      <c r="B53" s="2234"/>
      <c r="C53" s="2235"/>
      <c r="D53" s="207"/>
      <c r="E53" s="2325">
        <v>15</v>
      </c>
      <c r="F53" s="2200"/>
      <c r="G53" s="2326"/>
      <c r="H53" s="2204"/>
      <c r="I53" s="2204"/>
      <c r="J53" s="2204"/>
      <c r="K53" s="2327"/>
      <c r="L53" s="2328"/>
      <c r="M53" s="2328"/>
      <c r="N53" s="2328"/>
      <c r="O53" s="2328"/>
      <c r="P53" s="2328"/>
      <c r="Q53" s="2328"/>
      <c r="R53" s="2329"/>
      <c r="S53" s="2328"/>
      <c r="T53" s="2328"/>
      <c r="U53" s="2328"/>
      <c r="V53" s="2328"/>
      <c r="W53" s="2328"/>
      <c r="X53" s="2328"/>
      <c r="Y53" s="2330"/>
      <c r="Z53" s="962"/>
      <c r="AA53" s="1149"/>
    </row>
    <row r="54" spans="1:27">
      <c r="A54" s="2233"/>
      <c r="B54" s="2234"/>
      <c r="C54" s="2235"/>
      <c r="D54" s="207"/>
      <c r="E54" s="2331" t="s">
        <v>15</v>
      </c>
      <c r="F54" s="2331"/>
      <c r="G54" s="2331"/>
      <c r="H54" s="2331"/>
      <c r="I54" s="2331"/>
      <c r="J54" s="2214"/>
      <c r="K54" s="2192">
        <f>SUM(K39:R53)</f>
        <v>0</v>
      </c>
      <c r="L54" s="2188"/>
      <c r="M54" s="2188"/>
      <c r="N54" s="2188"/>
      <c r="O54" s="2188"/>
      <c r="P54" s="2188"/>
      <c r="Q54" s="2335" t="s">
        <v>293</v>
      </c>
      <c r="R54" s="2336"/>
      <c r="S54" s="2339" t="s">
        <v>1359</v>
      </c>
      <c r="T54" s="2340"/>
      <c r="U54" s="2340"/>
      <c r="V54" s="2232" t="e">
        <f>K54/'【様式2】職員名簿 '!G5</f>
        <v>#DIV/0!</v>
      </c>
      <c r="W54" s="2232"/>
      <c r="X54" s="2232"/>
      <c r="Y54" s="2197" t="s">
        <v>26</v>
      </c>
      <c r="Z54" s="962"/>
      <c r="AA54" s="1149"/>
    </row>
    <row r="55" spans="1:27">
      <c r="A55" s="2233"/>
      <c r="B55" s="2234"/>
      <c r="C55" s="2235"/>
      <c r="D55" s="1154"/>
      <c r="E55" s="2332"/>
      <c r="F55" s="2332"/>
      <c r="G55" s="2332"/>
      <c r="H55" s="2332"/>
      <c r="I55" s="2332"/>
      <c r="J55" s="2333"/>
      <c r="K55" s="2334"/>
      <c r="L55" s="2215"/>
      <c r="M55" s="2215"/>
      <c r="N55" s="2215"/>
      <c r="O55" s="2215"/>
      <c r="P55" s="2215"/>
      <c r="Q55" s="2337"/>
      <c r="R55" s="2338"/>
      <c r="S55" s="2341"/>
      <c r="T55" s="2342"/>
      <c r="U55" s="2342"/>
      <c r="V55" s="2343"/>
      <c r="W55" s="2343"/>
      <c r="X55" s="2343"/>
      <c r="Y55" s="2222"/>
      <c r="Z55" s="962"/>
      <c r="AA55" s="1149"/>
    </row>
  </sheetData>
  <sheetProtection algorithmName="SHA-512" hashValue="vByRSrGy0+JkFgPhilWaygcJkcJq4uOKGKoHJ1JCHRFOoPGDEy3fT5ZmIZULf0obaZR8Xu2+pkql6oNX2cF99A==" saltValue="7OPvvioUSjO4qciOHjH6NA==" spinCount="100000" sheet="1" objects="1" scenarios="1"/>
  <mergeCells count="186">
    <mergeCell ref="E52:F52"/>
    <mergeCell ref="G52:J52"/>
    <mergeCell ref="K52:R52"/>
    <mergeCell ref="S52:Y52"/>
    <mergeCell ref="E53:F53"/>
    <mergeCell ref="G53:J53"/>
    <mergeCell ref="K53:R53"/>
    <mergeCell ref="S53:Y53"/>
    <mergeCell ref="E54:J55"/>
    <mergeCell ref="K54:P55"/>
    <mergeCell ref="Q54:R55"/>
    <mergeCell ref="S54:U55"/>
    <mergeCell ref="V54:X55"/>
    <mergeCell ref="Y54:Y55"/>
    <mergeCell ref="E49:F49"/>
    <mergeCell ref="G49:J49"/>
    <mergeCell ref="K49:R49"/>
    <mergeCell ref="S49:Y49"/>
    <mergeCell ref="E50:F50"/>
    <mergeCell ref="G50:J50"/>
    <mergeCell ref="K50:R50"/>
    <mergeCell ref="S50:Y50"/>
    <mergeCell ref="E51:F51"/>
    <mergeCell ref="G51:J51"/>
    <mergeCell ref="K51:R51"/>
    <mergeCell ref="S51:Y51"/>
    <mergeCell ref="E46:F46"/>
    <mergeCell ref="G46:J46"/>
    <mergeCell ref="K46:R46"/>
    <mergeCell ref="S46:Y46"/>
    <mergeCell ref="E47:F47"/>
    <mergeCell ref="G47:J47"/>
    <mergeCell ref="K47:R47"/>
    <mergeCell ref="S47:Y47"/>
    <mergeCell ref="E48:F48"/>
    <mergeCell ref="G48:J48"/>
    <mergeCell ref="K48:R48"/>
    <mergeCell ref="S48:Y48"/>
    <mergeCell ref="E43:F43"/>
    <mergeCell ref="G43:J43"/>
    <mergeCell ref="K43:R43"/>
    <mergeCell ref="S43:Y43"/>
    <mergeCell ref="E44:F44"/>
    <mergeCell ref="G44:J44"/>
    <mergeCell ref="K44:R44"/>
    <mergeCell ref="S44:Y44"/>
    <mergeCell ref="E45:F45"/>
    <mergeCell ref="G45:J45"/>
    <mergeCell ref="K45:R45"/>
    <mergeCell ref="S45:Y45"/>
    <mergeCell ref="E40:F40"/>
    <mergeCell ref="G40:J40"/>
    <mergeCell ref="K40:R40"/>
    <mergeCell ref="S40:Y40"/>
    <mergeCell ref="E41:F41"/>
    <mergeCell ref="G41:J41"/>
    <mergeCell ref="K41:R41"/>
    <mergeCell ref="S41:Y41"/>
    <mergeCell ref="E42:F42"/>
    <mergeCell ref="G42:J42"/>
    <mergeCell ref="K42:R42"/>
    <mergeCell ref="S42:Y42"/>
    <mergeCell ref="E37:F37"/>
    <mergeCell ref="G37:R37"/>
    <mergeCell ref="S37:Y37"/>
    <mergeCell ref="E38:F38"/>
    <mergeCell ref="G38:J38"/>
    <mergeCell ref="K38:R38"/>
    <mergeCell ref="S38:Y38"/>
    <mergeCell ref="E39:F39"/>
    <mergeCell ref="G39:J39"/>
    <mergeCell ref="K39:R39"/>
    <mergeCell ref="S39:Y39"/>
    <mergeCell ref="Z31:AA32"/>
    <mergeCell ref="E32:H32"/>
    <mergeCell ref="I32:L32"/>
    <mergeCell ref="N32:P32"/>
    <mergeCell ref="Q32:R32"/>
    <mergeCell ref="W32:X32"/>
    <mergeCell ref="E35:F35"/>
    <mergeCell ref="G35:R35"/>
    <mergeCell ref="S35:Y35"/>
    <mergeCell ref="E30:H30"/>
    <mergeCell ref="I30:L30"/>
    <mergeCell ref="N30:P30"/>
    <mergeCell ref="Q30:R30"/>
    <mergeCell ref="T30:V31"/>
    <mergeCell ref="W30:X31"/>
    <mergeCell ref="Y30:Y31"/>
    <mergeCell ref="E31:H31"/>
    <mergeCell ref="I31:L31"/>
    <mergeCell ref="N31:P31"/>
    <mergeCell ref="Q31:R31"/>
    <mergeCell ref="A20:C22"/>
    <mergeCell ref="D20:S22"/>
    <mergeCell ref="T20:Y22"/>
    <mergeCell ref="Z20:AA22"/>
    <mergeCell ref="A23:C55"/>
    <mergeCell ref="D23:Y23"/>
    <mergeCell ref="Z23:AA24"/>
    <mergeCell ref="E24:H24"/>
    <mergeCell ref="E25:M27"/>
    <mergeCell ref="N25:P27"/>
    <mergeCell ref="Q25:S27"/>
    <mergeCell ref="T25:Y27"/>
    <mergeCell ref="E28:H28"/>
    <mergeCell ref="I28:L28"/>
    <mergeCell ref="N28:P28"/>
    <mergeCell ref="Q28:R28"/>
    <mergeCell ref="T28:V29"/>
    <mergeCell ref="W28:X29"/>
    <mergeCell ref="Y28:Y29"/>
    <mergeCell ref="E29:H29"/>
    <mergeCell ref="I29:L29"/>
    <mergeCell ref="N29:P29"/>
    <mergeCell ref="Q29:R29"/>
    <mergeCell ref="Z29:AA30"/>
    <mergeCell ref="A17:AA17"/>
    <mergeCell ref="A18:C18"/>
    <mergeCell ref="D18:S18"/>
    <mergeCell ref="T18:Y18"/>
    <mergeCell ref="Z18:AA18"/>
    <mergeCell ref="A19:C19"/>
    <mergeCell ref="D19:S19"/>
    <mergeCell ref="T19:Y19"/>
    <mergeCell ref="Z19:AA19"/>
    <mergeCell ref="A12:C13"/>
    <mergeCell ref="D12:G13"/>
    <mergeCell ref="H12:K12"/>
    <mergeCell ref="L12:X12"/>
    <mergeCell ref="Z12:AA13"/>
    <mergeCell ref="H13:K13"/>
    <mergeCell ref="L13:X13"/>
    <mergeCell ref="A14:C15"/>
    <mergeCell ref="D14:G15"/>
    <mergeCell ref="H14:K14"/>
    <mergeCell ref="L14:X14"/>
    <mergeCell ref="Z14:AA15"/>
    <mergeCell ref="H15:K15"/>
    <mergeCell ref="L15:X15"/>
    <mergeCell ref="A9:C9"/>
    <mergeCell ref="D9:K9"/>
    <mergeCell ref="L9:R9"/>
    <mergeCell ref="S9:X9"/>
    <mergeCell ref="Z9:AA9"/>
    <mergeCell ref="A10:C11"/>
    <mergeCell ref="D10:G11"/>
    <mergeCell ref="H10:K10"/>
    <mergeCell ref="L10:X10"/>
    <mergeCell ref="Z10:AA11"/>
    <mergeCell ref="H11:K11"/>
    <mergeCell ref="L11:X11"/>
    <mergeCell ref="R7:S7"/>
    <mergeCell ref="T7:U7"/>
    <mergeCell ref="W7:X7"/>
    <mergeCell ref="Z7:AA8"/>
    <mergeCell ref="H8:K8"/>
    <mergeCell ref="L8:M8"/>
    <mergeCell ref="O8:P8"/>
    <mergeCell ref="R8:S8"/>
    <mergeCell ref="T8:U8"/>
    <mergeCell ref="W8:X8"/>
    <mergeCell ref="AC28:AC43"/>
    <mergeCell ref="AC21:AC23"/>
    <mergeCell ref="AC15:AC16"/>
    <mergeCell ref="AC13:AC14"/>
    <mergeCell ref="AC11:AC12"/>
    <mergeCell ref="AC7:AC8"/>
    <mergeCell ref="AC9:AC10"/>
    <mergeCell ref="R1:Z1"/>
    <mergeCell ref="A2:Z2"/>
    <mergeCell ref="A3:Z3"/>
    <mergeCell ref="A4:AA4"/>
    <mergeCell ref="A5:C5"/>
    <mergeCell ref="D5:K5"/>
    <mergeCell ref="L5:Y5"/>
    <mergeCell ref="Z5:AA5"/>
    <mergeCell ref="A6:C6"/>
    <mergeCell ref="D6:K6"/>
    <mergeCell ref="L6:Y6"/>
    <mergeCell ref="Z6:AA6"/>
    <mergeCell ref="A7:C8"/>
    <mergeCell ref="D7:G8"/>
    <mergeCell ref="H7:K7"/>
    <mergeCell ref="L7:M7"/>
    <mergeCell ref="O7:P7"/>
  </mergeCells>
  <phoneticPr fontId="1"/>
  <conditionalFormatting sqref="E33">
    <cfRule type="expression" dxfId="81" priority="449">
      <formula>$I$32=$AL$16</formula>
    </cfRule>
  </conditionalFormatting>
  <conditionalFormatting sqref="G39:Y53">
    <cfRule type="expression" dxfId="80" priority="447">
      <formula>$L$15=$AI$3</formula>
    </cfRule>
  </conditionalFormatting>
  <conditionalFormatting sqref="I32:L32">
    <cfRule type="cellIs" dxfId="79" priority="448" operator="notEqual">
      <formula>$AL$16</formula>
    </cfRule>
  </conditionalFormatting>
  <conditionalFormatting sqref="Z6:Z7 Z9:Z10 Z12 Z14 Z19:Z20 Z23 Z26:AA28 Z29 Z33:AA33 D36:Y36 Z36:AA55">
    <cfRule type="containsText" dxfId="78" priority="3" operator="containsText" text="×">
      <formula>NOT(ISERROR(SEARCH("×",D6)))</formula>
    </cfRule>
  </conditionalFormatting>
  <conditionalFormatting sqref="Z31">
    <cfRule type="containsText" dxfId="77" priority="2" operator="containsText" text="×">
      <formula>NOT(ISERROR(SEARCH("×",Z31)))</formula>
    </cfRule>
  </conditionalFormatting>
  <dataValidations count="10">
    <dataValidation type="whole" operator="greaterThanOrEqual" allowBlank="1" showInputMessage="1" showErrorMessage="1" sqref="L11" xr:uid="{00000000-0002-0000-0700-000000000000}">
      <formula1>0</formula1>
    </dataValidation>
    <dataValidation type="list" allowBlank="1" showInputMessage="1" showErrorMessage="1" sqref="L16:X16" xr:uid="{00000000-0002-0000-0700-000001000000}">
      <formula1>#REF!</formula1>
    </dataValidation>
    <dataValidation type="list" allowBlank="1" showInputMessage="1" showErrorMessage="1" sqref="L7:L8 T7:T8" xr:uid="{00000000-0002-0000-0700-000003000000}">
      <formula1>$AD$2:$AD$26</formula1>
    </dataValidation>
    <dataValidation type="list" errorStyle="warning" allowBlank="1" showInputMessage="1" showErrorMessage="1" sqref="W7:W8 O7:O8" xr:uid="{00000000-0002-0000-0700-000004000000}">
      <formula1>$AE$2:$AE$6</formula1>
    </dataValidation>
    <dataValidation type="list" allowBlank="1" showInputMessage="1" showErrorMessage="1" sqref="L15" xr:uid="{00000000-0002-0000-0700-000005000000}">
      <formula1>$AI$2:$AI$5</formula1>
    </dataValidation>
    <dataValidation type="list" allowBlank="1" showInputMessage="1" showErrorMessage="1" sqref="L10" xr:uid="{00000000-0002-0000-0700-000006000000}">
      <formula1>$AF$2:$AF$4</formula1>
    </dataValidation>
    <dataValidation type="list" allowBlank="1" showInputMessage="1" showErrorMessage="1" sqref="L14" xr:uid="{00000000-0002-0000-0700-000007000000}">
      <formula1>$AH$2:$AH$4</formula1>
    </dataValidation>
    <dataValidation type="list" allowBlank="1" showInputMessage="1" sqref="L12" xr:uid="{00000000-0002-0000-0700-000008000000}">
      <formula1>$AG$2:$AG$6</formula1>
    </dataValidation>
    <dataValidation type="list" allowBlank="1" showInputMessage="1" showErrorMessage="1" sqref="T19:Y22" xr:uid="{00000000-0002-0000-0700-000009000000}">
      <formula1>$AK$2:$AK$4</formula1>
    </dataValidation>
    <dataValidation type="list" allowBlank="1" showInputMessage="1" showErrorMessage="1" sqref="G39:J53" xr:uid="{5821B33B-C5B4-4D7F-9ECB-FE4802C82370}">
      <formula1>$AJ$2:$AJ$4</formula1>
    </dataValidation>
  </dataValidations>
  <pageMargins left="0.7" right="0.7" top="0.75" bottom="0.75" header="0.3" footer="0.3"/>
  <pageSetup paperSize="9" scale="9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B0F0"/>
  </sheetPr>
  <dimension ref="A1:P33"/>
  <sheetViews>
    <sheetView view="pageBreakPreview" zoomScale="90" zoomScaleNormal="100" zoomScaleSheetLayoutView="90" workbookViewId="0">
      <selection sqref="A1:D1"/>
    </sheetView>
  </sheetViews>
  <sheetFormatPr defaultColWidth="9" defaultRowHeight="14.25" outlineLevelCol="1"/>
  <cols>
    <col min="1" max="1" width="5.625" style="595" customWidth="1"/>
    <col min="2" max="2" width="20.375" style="595" customWidth="1"/>
    <col min="3" max="8" width="10.625" style="595" customWidth="1"/>
    <col min="9" max="9" width="5.625" style="595" customWidth="1"/>
    <col min="10" max="10" width="10.5" style="595" hidden="1" customWidth="1" outlineLevel="1"/>
    <col min="11" max="11" width="11.625" style="595" hidden="1" customWidth="1" outlineLevel="1"/>
    <col min="12" max="12" width="5.625" style="595" hidden="1" customWidth="1" outlineLevel="1"/>
    <col min="13" max="13" width="6.25" style="595" hidden="1" customWidth="1" outlineLevel="1"/>
    <col min="14" max="15" width="3.875" style="595" hidden="1" customWidth="1" outlineLevel="1"/>
    <col min="16" max="16" width="9" style="595" collapsed="1"/>
    <col min="17" max="16384" width="9" style="595"/>
  </cols>
  <sheetData>
    <row r="1" spans="1:15" s="591" customFormat="1" ht="24.95" customHeight="1">
      <c r="A1" s="2346" t="s">
        <v>901</v>
      </c>
      <c r="B1" s="2346"/>
      <c r="C1" s="2346"/>
      <c r="D1" s="2346"/>
      <c r="E1" s="2347" t="str">
        <f>J2&amp;"別紙4"&amp;J3</f>
        <v>加-25_4月申-別紙4-認_Ver.4.02</v>
      </c>
      <c r="F1" s="2347"/>
      <c r="G1" s="2347"/>
      <c r="H1" s="2347"/>
      <c r="I1" s="590"/>
      <c r="J1" s="264" t="s">
        <v>1163</v>
      </c>
      <c r="L1" s="598"/>
      <c r="M1" s="828" t="s">
        <v>11</v>
      </c>
      <c r="N1" s="592" t="s">
        <v>85</v>
      </c>
      <c r="O1" s="592" t="s">
        <v>647</v>
      </c>
    </row>
    <row r="2" spans="1:15" s="591" customFormat="1" ht="24.95" customHeight="1">
      <c r="A2" s="132" t="s">
        <v>1183</v>
      </c>
      <c r="B2" s="594"/>
      <c r="C2" s="594"/>
      <c r="D2" s="594"/>
      <c r="E2" s="594"/>
      <c r="F2" s="596"/>
      <c r="G2" s="594"/>
      <c r="H2" s="594"/>
      <c r="I2" s="590"/>
      <c r="J2" s="264" t="str">
        <f>【様式１】総括表・個票!AJ2</f>
        <v>加-25_4月申-</v>
      </c>
      <c r="L2" s="598" t="s">
        <v>156</v>
      </c>
      <c r="M2" s="829">
        <f>【様式１】総括表・個票!AK2</f>
        <v>2025</v>
      </c>
      <c r="N2" s="592"/>
      <c r="O2" s="592"/>
    </row>
    <row r="3" spans="1:15" s="591" customFormat="1" ht="24.95" customHeight="1">
      <c r="A3" s="594"/>
      <c r="B3" s="597" t="s">
        <v>645</v>
      </c>
      <c r="C3" s="1031"/>
      <c r="D3" s="597" t="s">
        <v>308</v>
      </c>
      <c r="E3" s="1031"/>
      <c r="F3" s="597" t="s">
        <v>647</v>
      </c>
      <c r="G3" s="2348" t="str">
        <f>IF(J5=0,"←未入力",IF(J5=1,"←開始＞終了",IF(J5=2,"←誤入力","")))</f>
        <v>←未入力</v>
      </c>
      <c r="H3" s="2348"/>
      <c r="I3" s="590"/>
      <c r="J3" s="264" t="str">
        <f>【様式１】総括表・個票!AJ3</f>
        <v>-認_Ver.4.02</v>
      </c>
      <c r="L3" s="598" t="s">
        <v>88</v>
      </c>
      <c r="M3" s="830"/>
      <c r="N3" s="593">
        <v>4</v>
      </c>
      <c r="O3" s="593">
        <v>1</v>
      </c>
    </row>
    <row r="4" spans="1:15" s="591" customFormat="1" ht="24.95" customHeight="1">
      <c r="A4" s="594"/>
      <c r="B4" s="600" t="s">
        <v>646</v>
      </c>
      <c r="C4" s="1032"/>
      <c r="D4" s="600" t="s">
        <v>308</v>
      </c>
      <c r="E4" s="1032"/>
      <c r="F4" s="600" t="s">
        <v>647</v>
      </c>
      <c r="G4" s="2348" t="str">
        <f>IF(J6=0,"←未入力",IF(J6=1,"←開始＞終了",IF(J6=2,"←誤入力","")))</f>
        <v>←未入力</v>
      </c>
      <c r="H4" s="2348"/>
      <c r="I4" s="594"/>
      <c r="J4" s="593" t="s">
        <v>649</v>
      </c>
      <c r="K4" s="593" t="s">
        <v>650</v>
      </c>
      <c r="L4" s="598" t="s">
        <v>274</v>
      </c>
      <c r="M4" s="590"/>
      <c r="N4" s="593">
        <v>5</v>
      </c>
      <c r="O4" s="593">
        <v>2</v>
      </c>
    </row>
    <row r="5" spans="1:15" s="591" customFormat="1" ht="24.95" customHeight="1">
      <c r="A5" s="132" t="s">
        <v>1184</v>
      </c>
      <c r="B5" s="590"/>
      <c r="C5" s="590"/>
      <c r="D5" s="590"/>
      <c r="E5" s="590"/>
      <c r="F5" s="590"/>
      <c r="G5" s="590"/>
      <c r="H5" s="590"/>
      <c r="I5" s="596"/>
      <c r="J5" s="598">
        <f>IF(OR(C3=0,E3=0,C3="",E3=""),0,IF($K$6&lt;$K$5,1,IF(MONTH(DATE($M$2,C3,1))&lt;&gt;MONTH(DATE($M$2,C3,E3)),2,3)))</f>
        <v>0</v>
      </c>
      <c r="K5" s="599">
        <f>DATE(IF(C3&lt;4,$M$2+1,$M$2),C3,E3)</f>
        <v>45991</v>
      </c>
      <c r="L5" s="598" t="s">
        <v>384</v>
      </c>
      <c r="M5" s="590"/>
      <c r="N5" s="593">
        <v>6</v>
      </c>
      <c r="O5" s="593">
        <v>3</v>
      </c>
    </row>
    <row r="6" spans="1:15" ht="24.95" hidden="1" customHeight="1">
      <c r="A6" s="594"/>
      <c r="B6" s="2349" t="s">
        <v>1185</v>
      </c>
      <c r="C6" s="2349"/>
      <c r="D6" s="2349"/>
      <c r="E6" s="2349"/>
      <c r="F6" s="2349"/>
      <c r="G6" s="2349"/>
      <c r="H6" s="2349"/>
      <c r="I6" s="596"/>
      <c r="J6" s="598">
        <f>IF(OR(C4=0,E4=0,C4="",E4=""),0,IF($K$6&lt;$K$5,1,IF(MONTH(DATE($M$2,C4,1))&lt;&gt;MONTH(DATE($M$2,C4,E4)),2,3)))</f>
        <v>0</v>
      </c>
      <c r="K6" s="599">
        <f>DATE(IF(C4&lt;4,$M$2+1,$M$2),C4,E4)</f>
        <v>45991</v>
      </c>
      <c r="M6" s="596"/>
      <c r="N6" s="593">
        <v>7</v>
      </c>
      <c r="O6" s="593">
        <v>4</v>
      </c>
    </row>
    <row r="7" spans="1:15" ht="24.95" hidden="1" customHeight="1">
      <c r="A7" s="594"/>
      <c r="B7" s="2349"/>
      <c r="C7" s="2349"/>
      <c r="D7" s="2349"/>
      <c r="E7" s="2349"/>
      <c r="F7" s="2349"/>
      <c r="G7" s="2349"/>
      <c r="H7" s="2349"/>
      <c r="I7" s="594"/>
      <c r="N7" s="593">
        <v>8</v>
      </c>
      <c r="O7" s="593">
        <v>5</v>
      </c>
    </row>
    <row r="8" spans="1:15" ht="15" hidden="1" customHeight="1">
      <c r="A8" s="594"/>
      <c r="B8" s="2350" t="s">
        <v>1186</v>
      </c>
      <c r="C8" s="2350"/>
      <c r="D8" s="2350"/>
      <c r="E8" s="2350"/>
      <c r="F8" s="2350"/>
      <c r="G8" s="2350"/>
      <c r="H8" s="2350"/>
      <c r="I8" s="594"/>
      <c r="N8" s="593">
        <v>9</v>
      </c>
      <c r="O8" s="593">
        <v>6</v>
      </c>
    </row>
    <row r="9" spans="1:15" ht="15" hidden="1" customHeight="1">
      <c r="A9" s="594"/>
      <c r="B9" s="2350" t="s">
        <v>1187</v>
      </c>
      <c r="C9" s="2350"/>
      <c r="D9" s="2350"/>
      <c r="E9" s="2350"/>
      <c r="F9" s="2350"/>
      <c r="G9" s="2350"/>
      <c r="H9" s="2350"/>
      <c r="I9" s="594"/>
      <c r="N9" s="593">
        <v>10</v>
      </c>
      <c r="O9" s="593">
        <v>7</v>
      </c>
    </row>
    <row r="10" spans="1:15" ht="15" hidden="1" customHeight="1">
      <c r="A10" s="594"/>
      <c r="B10" s="2350" t="s">
        <v>1188</v>
      </c>
      <c r="C10" s="2350"/>
      <c r="D10" s="2350"/>
      <c r="E10" s="2350"/>
      <c r="F10" s="2350"/>
      <c r="G10" s="2350"/>
      <c r="H10" s="2350"/>
      <c r="I10" s="594"/>
      <c r="N10" s="593">
        <v>11</v>
      </c>
      <c r="O10" s="593">
        <v>8</v>
      </c>
    </row>
    <row r="11" spans="1:15" ht="15" hidden="1" customHeight="1">
      <c r="A11" s="594"/>
      <c r="B11" s="2350" t="s">
        <v>1189</v>
      </c>
      <c r="C11" s="2350"/>
      <c r="D11" s="2350"/>
      <c r="E11" s="2350"/>
      <c r="F11" s="2350"/>
      <c r="G11" s="2350"/>
      <c r="H11" s="2350"/>
      <c r="I11" s="594"/>
      <c r="N11" s="593">
        <v>12</v>
      </c>
      <c r="O11" s="593">
        <v>9</v>
      </c>
    </row>
    <row r="12" spans="1:15" ht="24.95" customHeight="1">
      <c r="A12" s="594"/>
      <c r="B12" s="2351" t="s">
        <v>1190</v>
      </c>
      <c r="C12" s="2351"/>
      <c r="D12" s="2351"/>
      <c r="E12" s="2351"/>
      <c r="F12" s="2351"/>
      <c r="G12" s="2351"/>
      <c r="H12" s="2351"/>
      <c r="I12" s="594"/>
      <c r="N12" s="593">
        <v>1</v>
      </c>
      <c r="O12" s="593">
        <v>10</v>
      </c>
    </row>
    <row r="13" spans="1:15" ht="24.95" customHeight="1">
      <c r="A13" s="594"/>
      <c r="B13" s="601" t="s">
        <v>85</v>
      </c>
      <c r="C13" s="831" t="s">
        <v>864</v>
      </c>
      <c r="D13" s="954" t="s">
        <v>648</v>
      </c>
      <c r="E13" s="2344" t="s">
        <v>94</v>
      </c>
      <c r="F13" s="2344"/>
      <c r="G13" s="2345"/>
      <c r="H13" s="594"/>
      <c r="I13" s="594"/>
      <c r="J13" s="593" t="s">
        <v>651</v>
      </c>
      <c r="K13" s="593" t="s">
        <v>652</v>
      </c>
      <c r="N13" s="593">
        <v>2</v>
      </c>
      <c r="O13" s="593">
        <v>11</v>
      </c>
    </row>
    <row r="14" spans="1:15" ht="24.95" customHeight="1">
      <c r="A14" s="594"/>
      <c r="B14" s="602">
        <v>4</v>
      </c>
      <c r="C14" s="1209"/>
      <c r="D14" s="1033"/>
      <c r="E14" s="2354" t="str">
        <f t="shared" ref="E14:E25" si="0">IF(AND(SUM($J$5:$J$6)=6,$K$6&gt;=$J14,$K$5&lt;=$K14),IF($D14&gt;0,"○","△"),"×")</f>
        <v>×</v>
      </c>
      <c r="F14" s="2354"/>
      <c r="G14" s="2355"/>
      <c r="H14" s="832" t="str">
        <f t="shared" ref="H14:H25" si="1">IF(AND(SUM($J$5:$J$6)=6,$K$6&gt;=$J14,$K$5&lt;=$K14,D14=0),"←未入力","")</f>
        <v/>
      </c>
      <c r="I14" s="833"/>
      <c r="J14" s="603">
        <f>DATE(IF($B14&lt;4,$M$2+1,$M$2),$B14,1)</f>
        <v>45748</v>
      </c>
      <c r="K14" s="603">
        <f t="shared" ref="K14:K25" si="2">DATE(IF($B14&lt;4,$M$2+1,$M$2),$B14+1,0)</f>
        <v>45777</v>
      </c>
      <c r="N14" s="593">
        <v>3</v>
      </c>
      <c r="O14" s="593">
        <v>12</v>
      </c>
    </row>
    <row r="15" spans="1:15" ht="24.95" customHeight="1">
      <c r="A15" s="594"/>
      <c r="B15" s="604">
        <v>5</v>
      </c>
      <c r="C15" s="1210"/>
      <c r="D15" s="1034"/>
      <c r="E15" s="2352" t="str">
        <f t="shared" si="0"/>
        <v>×</v>
      </c>
      <c r="F15" s="2352"/>
      <c r="G15" s="2353"/>
      <c r="H15" s="832" t="str">
        <f t="shared" si="1"/>
        <v/>
      </c>
      <c r="I15" s="833"/>
      <c r="J15" s="603">
        <f t="shared" ref="J15:J25" si="3">DATE(IF($B15&lt;4,$M$2+1,$M$2),$B15,1)</f>
        <v>45778</v>
      </c>
      <c r="K15" s="603">
        <f>DATE(IF($B15&lt;4,$M$2+1,$M$2),$B15+1,0)</f>
        <v>45808</v>
      </c>
      <c r="O15" s="593">
        <v>13</v>
      </c>
    </row>
    <row r="16" spans="1:15" ht="24.95" customHeight="1">
      <c r="A16" s="594"/>
      <c r="B16" s="604">
        <v>6</v>
      </c>
      <c r="C16" s="1210"/>
      <c r="D16" s="1034"/>
      <c r="E16" s="2352" t="str">
        <f t="shared" si="0"/>
        <v>×</v>
      </c>
      <c r="F16" s="2352"/>
      <c r="G16" s="2353"/>
      <c r="H16" s="832" t="str">
        <f t="shared" si="1"/>
        <v/>
      </c>
      <c r="I16" s="833"/>
      <c r="J16" s="603">
        <f t="shared" si="3"/>
        <v>45809</v>
      </c>
      <c r="K16" s="603">
        <f t="shared" si="2"/>
        <v>45838</v>
      </c>
      <c r="O16" s="593">
        <v>14</v>
      </c>
    </row>
    <row r="17" spans="1:15" ht="24.95" customHeight="1">
      <c r="A17" s="594"/>
      <c r="B17" s="604">
        <v>7</v>
      </c>
      <c r="C17" s="1210"/>
      <c r="D17" s="1034"/>
      <c r="E17" s="2352" t="str">
        <f t="shared" si="0"/>
        <v>×</v>
      </c>
      <c r="F17" s="2352"/>
      <c r="G17" s="2353"/>
      <c r="H17" s="832" t="str">
        <f t="shared" si="1"/>
        <v/>
      </c>
      <c r="I17" s="833"/>
      <c r="J17" s="603">
        <f t="shared" si="3"/>
        <v>45839</v>
      </c>
      <c r="K17" s="603">
        <f t="shared" si="2"/>
        <v>45869</v>
      </c>
      <c r="O17" s="593">
        <v>15</v>
      </c>
    </row>
    <row r="18" spans="1:15" ht="24.95" customHeight="1">
      <c r="A18" s="594"/>
      <c r="B18" s="604">
        <v>8</v>
      </c>
      <c r="C18" s="1210"/>
      <c r="D18" s="1034"/>
      <c r="E18" s="2352" t="str">
        <f t="shared" si="0"/>
        <v>×</v>
      </c>
      <c r="F18" s="2352"/>
      <c r="G18" s="2353"/>
      <c r="H18" s="832" t="str">
        <f t="shared" si="1"/>
        <v/>
      </c>
      <c r="I18" s="833"/>
      <c r="J18" s="603">
        <f t="shared" si="3"/>
        <v>45870</v>
      </c>
      <c r="K18" s="603">
        <f t="shared" si="2"/>
        <v>45900</v>
      </c>
      <c r="O18" s="593">
        <v>16</v>
      </c>
    </row>
    <row r="19" spans="1:15" ht="24.95" customHeight="1">
      <c r="A19" s="594"/>
      <c r="B19" s="604">
        <v>9</v>
      </c>
      <c r="C19" s="1210"/>
      <c r="D19" s="1034"/>
      <c r="E19" s="2352" t="str">
        <f t="shared" si="0"/>
        <v>×</v>
      </c>
      <c r="F19" s="2352"/>
      <c r="G19" s="2353"/>
      <c r="H19" s="832" t="str">
        <f t="shared" si="1"/>
        <v/>
      </c>
      <c r="I19" s="833"/>
      <c r="J19" s="603">
        <f t="shared" si="3"/>
        <v>45901</v>
      </c>
      <c r="K19" s="603">
        <f t="shared" si="2"/>
        <v>45930</v>
      </c>
      <c r="O19" s="593">
        <v>17</v>
      </c>
    </row>
    <row r="20" spans="1:15" ht="24.95" customHeight="1">
      <c r="A20" s="594"/>
      <c r="B20" s="604">
        <v>10</v>
      </c>
      <c r="C20" s="1210"/>
      <c r="D20" s="1034"/>
      <c r="E20" s="2352" t="str">
        <f t="shared" si="0"/>
        <v>×</v>
      </c>
      <c r="F20" s="2352"/>
      <c r="G20" s="2353"/>
      <c r="H20" s="832" t="str">
        <f t="shared" si="1"/>
        <v/>
      </c>
      <c r="I20" s="833"/>
      <c r="J20" s="603">
        <f t="shared" si="3"/>
        <v>45931</v>
      </c>
      <c r="K20" s="603">
        <f t="shared" si="2"/>
        <v>45961</v>
      </c>
      <c r="O20" s="593">
        <v>18</v>
      </c>
    </row>
    <row r="21" spans="1:15" ht="24.95" customHeight="1">
      <c r="A21" s="594"/>
      <c r="B21" s="604">
        <v>11</v>
      </c>
      <c r="C21" s="1210"/>
      <c r="D21" s="1034"/>
      <c r="E21" s="2352" t="str">
        <f t="shared" si="0"/>
        <v>×</v>
      </c>
      <c r="F21" s="2352"/>
      <c r="G21" s="2353"/>
      <c r="H21" s="832" t="str">
        <f t="shared" si="1"/>
        <v/>
      </c>
      <c r="I21" s="833"/>
      <c r="J21" s="603">
        <f t="shared" si="3"/>
        <v>45962</v>
      </c>
      <c r="K21" s="603">
        <f t="shared" si="2"/>
        <v>45991</v>
      </c>
      <c r="O21" s="593">
        <v>19</v>
      </c>
    </row>
    <row r="22" spans="1:15" ht="24.95" customHeight="1">
      <c r="A22" s="594"/>
      <c r="B22" s="604">
        <v>12</v>
      </c>
      <c r="C22" s="1210"/>
      <c r="D22" s="1034"/>
      <c r="E22" s="2352" t="str">
        <f t="shared" si="0"/>
        <v>×</v>
      </c>
      <c r="F22" s="2352"/>
      <c r="G22" s="2353"/>
      <c r="H22" s="832" t="str">
        <f t="shared" si="1"/>
        <v/>
      </c>
      <c r="I22" s="833"/>
      <c r="J22" s="603">
        <f t="shared" si="3"/>
        <v>45992</v>
      </c>
      <c r="K22" s="603">
        <f t="shared" si="2"/>
        <v>46022</v>
      </c>
      <c r="O22" s="593">
        <v>20</v>
      </c>
    </row>
    <row r="23" spans="1:15" ht="24.95" customHeight="1">
      <c r="A23" s="594"/>
      <c r="B23" s="604">
        <v>1</v>
      </c>
      <c r="C23" s="1210"/>
      <c r="D23" s="1034"/>
      <c r="E23" s="2352" t="str">
        <f t="shared" si="0"/>
        <v>×</v>
      </c>
      <c r="F23" s="2352"/>
      <c r="G23" s="2353"/>
      <c r="H23" s="832" t="str">
        <f t="shared" si="1"/>
        <v/>
      </c>
      <c r="I23" s="833"/>
      <c r="J23" s="603">
        <f t="shared" si="3"/>
        <v>46023</v>
      </c>
      <c r="K23" s="603">
        <f t="shared" si="2"/>
        <v>46053</v>
      </c>
      <c r="O23" s="593">
        <v>21</v>
      </c>
    </row>
    <row r="24" spans="1:15" ht="24.95" customHeight="1">
      <c r="A24" s="594"/>
      <c r="B24" s="604">
        <v>2</v>
      </c>
      <c r="C24" s="1210"/>
      <c r="D24" s="1034"/>
      <c r="E24" s="2352" t="str">
        <f t="shared" si="0"/>
        <v>×</v>
      </c>
      <c r="F24" s="2352"/>
      <c r="G24" s="2353"/>
      <c r="H24" s="832" t="str">
        <f t="shared" si="1"/>
        <v/>
      </c>
      <c r="I24" s="833"/>
      <c r="J24" s="603">
        <f t="shared" si="3"/>
        <v>46054</v>
      </c>
      <c r="K24" s="603">
        <f t="shared" si="2"/>
        <v>46081</v>
      </c>
      <c r="O24" s="593">
        <v>22</v>
      </c>
    </row>
    <row r="25" spans="1:15" ht="30" customHeight="1">
      <c r="A25" s="594"/>
      <c r="B25" s="605">
        <v>3</v>
      </c>
      <c r="C25" s="1211"/>
      <c r="D25" s="1035"/>
      <c r="E25" s="2356" t="str">
        <f t="shared" si="0"/>
        <v>×</v>
      </c>
      <c r="F25" s="2356"/>
      <c r="G25" s="2357"/>
      <c r="H25" s="832" t="str">
        <f t="shared" si="1"/>
        <v/>
      </c>
      <c r="I25" s="833"/>
      <c r="J25" s="603">
        <f t="shared" si="3"/>
        <v>46082</v>
      </c>
      <c r="K25" s="603">
        <f t="shared" si="2"/>
        <v>46112</v>
      </c>
      <c r="O25" s="593">
        <v>23</v>
      </c>
    </row>
    <row r="26" spans="1:15" ht="30" customHeight="1">
      <c r="A26" s="594"/>
      <c r="B26" s="606" t="s">
        <v>15</v>
      </c>
      <c r="C26" s="834"/>
      <c r="D26" s="607">
        <f>SUM(D14:D25)</f>
        <v>0</v>
      </c>
      <c r="E26" s="2358">
        <f>COUNTIF(E14:G25,"○")</f>
        <v>0</v>
      </c>
      <c r="F26" s="2358"/>
      <c r="G26" s="2359"/>
      <c r="H26" s="594"/>
      <c r="I26" s="594"/>
      <c r="O26" s="593">
        <v>24</v>
      </c>
    </row>
    <row r="27" spans="1:15">
      <c r="O27" s="593">
        <v>25</v>
      </c>
    </row>
    <row r="28" spans="1:15">
      <c r="O28" s="593">
        <v>26</v>
      </c>
    </row>
    <row r="29" spans="1:15">
      <c r="O29" s="593">
        <v>27</v>
      </c>
    </row>
    <row r="30" spans="1:15">
      <c r="O30" s="593">
        <v>28</v>
      </c>
    </row>
    <row r="31" spans="1:15">
      <c r="O31" s="593">
        <v>29</v>
      </c>
    </row>
    <row r="32" spans="1:15">
      <c r="O32" s="593">
        <v>30</v>
      </c>
    </row>
    <row r="33" spans="15:15">
      <c r="O33" s="593">
        <v>31</v>
      </c>
    </row>
  </sheetData>
  <sheetProtection algorithmName="SHA-512" hashValue="BO5vK4gR6w0P4ebhhOurNMIjKqpwTna8AKrsmKWjHgE51z4kteiMzYxNuiVSWsWJ59Hr6brzXWd6j8shJr5sBw==" saltValue="+WP2P/T9FWVaD/IZRwzslw==" spinCount="100000" sheet="1" objects="1" scenarios="1"/>
  <mergeCells count="24">
    <mergeCell ref="E25:G25"/>
    <mergeCell ref="E26:G26"/>
    <mergeCell ref="E20:G20"/>
    <mergeCell ref="E21:G21"/>
    <mergeCell ref="E22:G22"/>
    <mergeCell ref="E23:G23"/>
    <mergeCell ref="E24:G24"/>
    <mergeCell ref="E17:G17"/>
    <mergeCell ref="E18:G18"/>
    <mergeCell ref="E19:G19"/>
    <mergeCell ref="E14:G14"/>
    <mergeCell ref="E15:G15"/>
    <mergeCell ref="E16:G16"/>
    <mergeCell ref="E13:G13"/>
    <mergeCell ref="A1:D1"/>
    <mergeCell ref="E1:H1"/>
    <mergeCell ref="G3:H3"/>
    <mergeCell ref="G4:H4"/>
    <mergeCell ref="B6:H7"/>
    <mergeCell ref="B8:H8"/>
    <mergeCell ref="B9:H9"/>
    <mergeCell ref="B10:H10"/>
    <mergeCell ref="B11:H11"/>
    <mergeCell ref="B12:H12"/>
  </mergeCells>
  <phoneticPr fontId="1"/>
  <conditionalFormatting sqref="D14:D25">
    <cfRule type="expression" dxfId="76" priority="1">
      <formula>$E14="×"</formula>
    </cfRule>
  </conditionalFormatting>
  <dataValidations count="3">
    <dataValidation type="list" allowBlank="1" showInputMessage="1" showErrorMessage="1" sqref="C14:C25" xr:uid="{00000000-0002-0000-0800-000000000000}">
      <formula1>$L$1:$L$5</formula1>
    </dataValidation>
    <dataValidation type="list" showInputMessage="1" showErrorMessage="1" sqref="C3:C4" xr:uid="{00000000-0002-0000-0800-000001000000}">
      <formula1>$N$2:$N$14</formula1>
    </dataValidation>
    <dataValidation type="list" showInputMessage="1" showErrorMessage="1" sqref="E3:E4" xr:uid="{00000000-0002-0000-0800-000002000000}">
      <formula1>$O$2:$O$33</formula1>
    </dataValidation>
  </dataValidations>
  <printOptions horizontalCentered="1"/>
  <pageMargins left="0" right="0" top="0.70866141732283472" bottom="0.59055118110236227" header="0" footer="0"/>
  <pageSetup paperSize="9" scale="110" orientation="portrait" r:id="rId1"/>
  <headerFooter alignWithMargins="0">
    <oddHeader xml:space="preserve">&amp;R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53</vt:i4>
      </vt:variant>
    </vt:vector>
  </HeadingPairs>
  <TitlesOfParts>
    <vt:vector size="72" baseType="lpstr">
      <vt:lpstr>施設状況 (要更新)</vt:lpstr>
      <vt:lpstr>休日情報(要更新)</vt:lpstr>
      <vt:lpstr>作成方法</vt:lpstr>
      <vt:lpstr>【別添】添付書類のリネーム一覧</vt:lpstr>
      <vt:lpstr>【様式１】総括表・個票</vt:lpstr>
      <vt:lpstr>(別紙1)副園長</vt:lpstr>
      <vt:lpstr>(別紙2)土曜閉所</vt:lpstr>
      <vt:lpstr>(別紙3)休日</vt:lpstr>
      <vt:lpstr>(別紙４)通園</vt:lpstr>
      <vt:lpstr>(別紙5)給食・副食</vt:lpstr>
      <vt:lpstr>(別紙6)定員超過 (1号)</vt:lpstr>
      <vt:lpstr>(別紙6)定員超過（2・3号）</vt:lpstr>
      <vt:lpstr>(別紙7)主幹教諭</vt:lpstr>
      <vt:lpstr>【様式2】職員名簿 </vt:lpstr>
      <vt:lpstr>【様式３】シフト表</vt:lpstr>
      <vt:lpstr>【様式4】クラス編成表</vt:lpstr>
      <vt:lpstr>【様式５】職員数算出表</vt:lpstr>
      <vt:lpstr>【様式6】加算確認表</vt:lpstr>
      <vt:lpstr>ver</vt:lpstr>
      <vt:lpstr>'(別紙1)副園長'!Print_Area</vt:lpstr>
      <vt:lpstr>'(別紙2)土曜閉所'!Print_Area</vt:lpstr>
      <vt:lpstr>'(別紙3)休日'!Print_Area</vt:lpstr>
      <vt:lpstr>'(別紙４)通園'!Print_Area</vt:lpstr>
      <vt:lpstr>'(別紙5)給食・副食'!Print_Area</vt:lpstr>
      <vt:lpstr>'(別紙6)定員超過 (1号)'!Print_Area</vt:lpstr>
      <vt:lpstr>'(別紙6)定員超過（2・3号）'!Print_Area</vt:lpstr>
      <vt:lpstr>'(別紙7)主幹教諭'!Print_Area</vt:lpstr>
      <vt:lpstr>【別添】添付書類のリネーム一覧!Print_Area</vt:lpstr>
      <vt:lpstr>【様式１】総括表・個票!Print_Area</vt:lpstr>
      <vt:lpstr>'【様式2】職員名簿 '!Print_Area</vt:lpstr>
      <vt:lpstr>【様式３】シフト表!Print_Area</vt:lpstr>
      <vt:lpstr>【様式4】クラス編成表!Print_Area</vt:lpstr>
      <vt:lpstr>【様式５】職員数算出表!Print_Area</vt:lpstr>
      <vt:lpstr>【様式6】加算確認表!Print_Area</vt:lpstr>
      <vt:lpstr>作成方法!Print_Area</vt:lpstr>
      <vt:lpstr>'(別紙1)副園長'!Print_Titles</vt:lpstr>
      <vt:lpstr>'(別紙2)土曜閉所'!Print_Titles</vt:lpstr>
      <vt:lpstr>'(別紙４)通園'!Print_Titles</vt:lpstr>
      <vt:lpstr>'(別紙5)給食・副食'!Print_Titles</vt:lpstr>
      <vt:lpstr>【様式１】総括表・個票!Print_Titles</vt:lpstr>
      <vt:lpstr>'【様式2】職員名簿 '!Print_Titles</vt:lpstr>
      <vt:lpstr>【様式３】シフト表!Print_Titles</vt:lpstr>
      <vt:lpstr>【様式4】クラス編成表!Print_Titles</vt:lpstr>
      <vt:lpstr>【様式５】職員数算出表!Print_Titles</vt:lpstr>
      <vt:lpstr>栄養士</vt:lpstr>
      <vt:lpstr>栄養士等</vt:lpstr>
      <vt:lpstr>学校医</vt:lpstr>
      <vt:lpstr>業務委託</vt:lpstr>
      <vt:lpstr>厚別区03認定こども園</vt:lpstr>
      <vt:lpstr>施設長</vt:lpstr>
      <vt:lpstr>事務員</vt:lpstr>
      <vt:lpstr>手稲区03認定こども園</vt:lpstr>
      <vt:lpstr>【様式５】職員数算出表!常勤</vt:lpstr>
      <vt:lpstr>常勤</vt:lpstr>
      <vt:lpstr>常勤事務員</vt:lpstr>
      <vt:lpstr>常勤保育教諭</vt:lpstr>
      <vt:lpstr>常勤保育士</vt:lpstr>
      <vt:lpstr>清田区03認定こども園</vt:lpstr>
      <vt:lpstr>西区03認定こども園</vt:lpstr>
      <vt:lpstr>全員</vt:lpstr>
      <vt:lpstr>全職種</vt:lpstr>
      <vt:lpstr>中央区03認定こども園</vt:lpstr>
      <vt:lpstr>調理員</vt:lpstr>
      <vt:lpstr>東区03認定こども園</vt:lpstr>
      <vt:lpstr>南区03認定こども園</vt:lpstr>
      <vt:lpstr>白石区03認定こども園</vt:lpstr>
      <vt:lpstr>'【様式2】職員名簿 '!非常勤</vt:lpstr>
      <vt:lpstr>副園長</vt:lpstr>
      <vt:lpstr>保育教諭</vt:lpstr>
      <vt:lpstr>保育士</vt:lpstr>
      <vt:lpstr>豊平区03認定こども園</vt:lpstr>
      <vt:lpstr>北区03認定こども園</vt:lpstr>
    </vt:vector>
  </TitlesOfParts>
  <Company>札幌市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札幌市</dc:creator>
  <cp:lastModifiedBy>田原 龍人</cp:lastModifiedBy>
  <cp:lastPrinted>2022-05-24T11:20:42Z</cp:lastPrinted>
  <dcterms:created xsi:type="dcterms:W3CDTF">2015-05-11T14:56:30Z</dcterms:created>
  <dcterms:modified xsi:type="dcterms:W3CDTF">2025-08-01T06:53:52Z</dcterms:modified>
</cp:coreProperties>
</file>